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comments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530"/>
  <workbookPr defaultThemeVersion="166925"/>
  <mc:AlternateContent xmlns:mc="http://schemas.openxmlformats.org/markup-compatibility/2006">
    <mc:Choice Requires="x15">
      <x15ac:absPath xmlns:x15ac="http://schemas.microsoft.com/office/spreadsheetml/2010/11/ac" url="C:\Users\Steph\Documents\StephTurner\Business\H - Need Response\STTP tools\edited tools\"/>
    </mc:Choice>
  </mc:AlternateContent>
  <xr:revisionPtr revIDLastSave="0" documentId="13_ncr:1_{575DF6A5-3DF9-4BE7-A098-FC9E37F06597}" xr6:coauthVersionLast="46" xr6:coauthVersionMax="46" xr10:uidLastSave="{00000000-0000-0000-0000-000000000000}"/>
  <bookViews>
    <workbookView xWindow="-108" yWindow="-108" windowWidth="23256" windowHeight="12576" xr2:uid="{00000000-000D-0000-FFFF-FFFF00000000}"/>
  </bookViews>
  <sheets>
    <sheet name="HP" sheetId="8" r:id="rId1"/>
    <sheet name="counselor" sheetId="12" r:id="rId2"/>
    <sheet name="advocacy" sheetId="13" r:id="rId3"/>
  </sheets>
  <definedNames>
    <definedName name="_xlnm.Print_Area" localSheetId="2">advocacy!$A$1:$N$1078</definedName>
    <definedName name="_xlnm.Print_Area" localSheetId="1">counselor!$A$1:$N$710</definedName>
    <definedName name="_xlnm.Print_Area" localSheetId="0">HP!$A$1:$N$1546</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I340" i="13" l="1"/>
  <c r="AI317" i="13"/>
  <c r="AI294" i="13"/>
  <c r="AI244" i="13"/>
  <c r="AI230" i="13"/>
  <c r="AI223" i="13"/>
  <c r="AI215" i="13"/>
  <c r="AI212" i="13"/>
  <c r="AI207" i="13"/>
  <c r="AI184" i="13"/>
  <c r="AI179" i="13"/>
  <c r="AI178" i="13"/>
  <c r="AI176" i="13"/>
  <c r="AI175" i="13"/>
  <c r="AI170" i="13"/>
  <c r="B1300" i="13"/>
  <c r="AM142" i="13" l="1"/>
  <c r="AM140" i="13"/>
  <c r="AI153" i="13"/>
  <c r="AN275" i="13"/>
  <c r="AO275" i="13"/>
  <c r="AM275" i="13" s="1"/>
  <c r="C50" i="13"/>
  <c r="C49" i="13"/>
  <c r="C51" i="13"/>
  <c r="C26" i="13"/>
  <c r="AK275" i="13" l="1"/>
  <c r="AL275" i="13"/>
  <c r="AJ275" i="13" s="1"/>
  <c r="C44" i="13"/>
  <c r="C43" i="13"/>
  <c r="C42" i="13"/>
  <c r="C41" i="13"/>
  <c r="AT1014" i="13"/>
  <c r="AJ1004" i="13"/>
  <c r="AL977" i="13"/>
  <c r="AL980" i="13"/>
  <c r="AL983" i="13"/>
  <c r="AL986" i="13"/>
  <c r="AL989" i="13"/>
  <c r="AL992" i="13"/>
  <c r="AL995" i="13"/>
  <c r="AL998" i="13"/>
  <c r="AL974" i="13"/>
  <c r="AJ972" i="13"/>
  <c r="AK972" i="13"/>
  <c r="AI972" i="13"/>
  <c r="AN1002" i="13" s="1"/>
  <c r="AI980" i="13"/>
  <c r="AI981" i="13" s="1"/>
  <c r="AI983" i="13"/>
  <c r="AI984" i="13" s="1"/>
  <c r="AI986" i="13"/>
  <c r="AI987" i="13" s="1"/>
  <c r="AI989" i="13"/>
  <c r="AI990" i="13" s="1"/>
  <c r="AI992" i="13"/>
  <c r="AI993" i="13" s="1"/>
  <c r="AI995" i="13"/>
  <c r="AI996" i="13" s="1"/>
  <c r="AI998" i="13"/>
  <c r="AI999" i="13" s="1"/>
  <c r="AI964" i="13"/>
  <c r="K964" i="13" s="1"/>
  <c r="AI962" i="13"/>
  <c r="B962" i="13" s="1"/>
  <c r="AK959" i="13"/>
  <c r="AK944" i="13"/>
  <c r="AP944" i="13"/>
  <c r="AR944" i="13" s="1"/>
  <c r="AT944" i="13" s="1"/>
  <c r="AV944" i="13" s="1"/>
  <c r="AP945" i="13"/>
  <c r="AK945" i="13" s="1"/>
  <c r="AP946" i="13"/>
  <c r="AR946" i="13" s="1"/>
  <c r="AT946" i="13" s="1"/>
  <c r="AV946" i="13" s="1"/>
  <c r="AP947" i="13"/>
  <c r="AR947" i="13" s="1"/>
  <c r="AT947" i="13" s="1"/>
  <c r="AV947" i="13" s="1"/>
  <c r="AK948" i="13" s="1"/>
  <c r="AP943" i="13"/>
  <c r="AR943" i="13" s="1"/>
  <c r="AK946" i="13" s="1"/>
  <c r="AK953" i="13"/>
  <c r="AK952" i="13"/>
  <c r="AK951" i="13"/>
  <c r="AK950" i="13"/>
  <c r="AK938" i="13"/>
  <c r="AJ937" i="13"/>
  <c r="AJ938" i="13" s="1"/>
  <c r="H937" i="13"/>
  <c r="AJ943" i="13" l="1"/>
  <c r="AN971" i="13"/>
  <c r="AM1002" i="13" s="1"/>
  <c r="AN1003" i="13" s="1"/>
  <c r="AM1003" i="13" s="1"/>
  <c r="AN1004" i="13" s="1"/>
  <c r="AM1004" i="13" s="1"/>
  <c r="AN1005" i="13" s="1"/>
  <c r="AM1005" i="13" s="1"/>
  <c r="AN1006" i="13" s="1"/>
  <c r="AM1006" i="13" s="1"/>
  <c r="AL1001" i="13"/>
  <c r="G1006" i="13" s="1"/>
  <c r="AR945" i="13"/>
  <c r="AT945" i="13" s="1"/>
  <c r="AT943" i="13"/>
  <c r="AV943" i="13" s="1"/>
  <c r="AR948" i="13"/>
  <c r="AJ946" i="13"/>
  <c r="AI946" i="13" s="1"/>
  <c r="K946" i="13" s="1"/>
  <c r="J946" i="13" s="1"/>
  <c r="AJ945" i="13"/>
  <c r="AI945" i="13" s="1"/>
  <c r="K945" i="13" s="1"/>
  <c r="J945" i="13" s="1"/>
  <c r="AJ947" i="13"/>
  <c r="AJ948" i="13"/>
  <c r="AI948" i="13" s="1"/>
  <c r="K948" i="13" s="1"/>
  <c r="J948" i="13" s="1"/>
  <c r="AJ944" i="13"/>
  <c r="AI944" i="13" s="1"/>
  <c r="K944" i="13" s="1"/>
  <c r="J944" i="13" s="1"/>
  <c r="AM938" i="13"/>
  <c r="AK937" i="13"/>
  <c r="AV945" i="13" l="1"/>
  <c r="AK947" i="13"/>
  <c r="AI947" i="13" s="1"/>
  <c r="K947" i="13" s="1"/>
  <c r="J947" i="13" s="1"/>
  <c r="AI937" i="13"/>
  <c r="AI938" i="13"/>
  <c r="I943" i="13" s="1"/>
  <c r="L937" i="13" l="1"/>
  <c r="G943" i="13"/>
  <c r="L938" i="13"/>
  <c r="K949" i="13"/>
  <c r="AJ950" i="13" l="1"/>
  <c r="AI950" i="13" s="1"/>
  <c r="K950" i="13" s="1"/>
  <c r="J950" i="13" s="1"/>
  <c r="AJ951" i="13"/>
  <c r="AJ952" i="13"/>
  <c r="AI952" i="13" s="1"/>
  <c r="K952" i="13" s="1"/>
  <c r="J952" i="13" s="1"/>
  <c r="AJ953" i="13"/>
  <c r="AI953" i="13" s="1"/>
  <c r="K953" i="13" s="1"/>
  <c r="J953" i="13" s="1"/>
  <c r="K943" i="13"/>
  <c r="AI951" i="13" l="1"/>
  <c r="K951" i="13" s="1"/>
  <c r="AJ955" i="13" s="1"/>
  <c r="AI955" i="13" s="1"/>
  <c r="K955" i="13" l="1"/>
  <c r="AI959" i="13" s="1"/>
  <c r="B959" i="13" s="1"/>
  <c r="J951" i="13"/>
  <c r="K957" i="13" l="1"/>
  <c r="AI957" i="13" s="1"/>
  <c r="J957" i="13" s="1"/>
  <c r="E649" i="13" l="1"/>
  <c r="E643" i="13"/>
  <c r="AK905" i="13" l="1"/>
  <c r="AI905" i="13" s="1"/>
  <c r="H906" i="13" s="1"/>
  <c r="AK903" i="13"/>
  <c r="AI903" i="13" s="1"/>
  <c r="H904" i="13" s="1"/>
  <c r="AK901" i="13"/>
  <c r="AI901" i="13" s="1"/>
  <c r="H902" i="13" s="1"/>
  <c r="E870" i="13" l="1"/>
  <c r="E865" i="13"/>
  <c r="B859" i="13"/>
  <c r="B869" i="13"/>
  <c r="G662" i="13" l="1"/>
  <c r="H640" i="13"/>
  <c r="G649" i="13"/>
  <c r="I646" i="13" s="1"/>
  <c r="E648" i="13"/>
  <c r="H646" i="13"/>
  <c r="D650" i="13" l="1"/>
  <c r="K648" i="13" s="1"/>
  <c r="K647" i="13" l="1"/>
  <c r="K649" i="13" s="1"/>
  <c r="M647" i="13" l="1"/>
  <c r="E887" i="13"/>
  <c r="E888" i="13" s="1"/>
  <c r="E889" i="13" s="1"/>
  <c r="E890" i="13" s="1"/>
  <c r="E860" i="13"/>
  <c r="G670" i="13"/>
  <c r="I667" i="13" s="1"/>
  <c r="H667" i="13"/>
  <c r="I659" i="13"/>
  <c r="H659" i="13"/>
  <c r="H656" i="13"/>
  <c r="H663" i="13" s="1"/>
  <c r="H671" i="13" s="1"/>
  <c r="H655" i="13"/>
  <c r="H662" i="13" s="1"/>
  <c r="H670" i="13" s="1"/>
  <c r="G655" i="13"/>
  <c r="I652" i="13" s="1"/>
  <c r="H654" i="13"/>
  <c r="H661" i="13" s="1"/>
  <c r="H669" i="13" s="1"/>
  <c r="H653" i="13"/>
  <c r="H660" i="13" s="1"/>
  <c r="H668" i="13" s="1"/>
  <c r="H652" i="13"/>
  <c r="G643" i="13"/>
  <c r="I640" i="13" s="1"/>
  <c r="AT1020" i="13" l="1"/>
  <c r="AT1019" i="13"/>
  <c r="AT1018" i="13"/>
  <c r="AT1017" i="13"/>
  <c r="AT1016" i="13"/>
  <c r="AT1015" i="13"/>
  <c r="AL839" i="13"/>
  <c r="AI839" i="13" s="1"/>
  <c r="AI840" i="13" s="1"/>
  <c r="B840" i="13" s="1"/>
  <c r="AL835" i="13"/>
  <c r="AI835" i="13" s="1"/>
  <c r="AI836" i="13" s="1"/>
  <c r="B836" i="13" s="1"/>
  <c r="AL831" i="13"/>
  <c r="AI831" i="13" s="1"/>
  <c r="AI832" i="13" s="1"/>
  <c r="B832" i="13" s="1"/>
  <c r="AI821" i="13"/>
  <c r="AK803" i="13"/>
  <c r="AK814" i="13" s="1"/>
  <c r="AI814" i="13" s="1"/>
  <c r="AI816" i="13" s="1"/>
  <c r="AK791" i="13"/>
  <c r="AK792" i="13"/>
  <c r="AK793" i="13"/>
  <c r="AK794" i="13"/>
  <c r="AK795" i="13"/>
  <c r="AK796" i="13"/>
  <c r="AK790" i="13"/>
  <c r="AL744" i="13"/>
  <c r="AP740" i="13"/>
  <c r="AN740" i="13"/>
  <c r="AI735" i="13"/>
  <c r="AI734" i="13"/>
  <c r="AI733" i="13"/>
  <c r="AI732" i="13"/>
  <c r="AL740" i="13"/>
  <c r="B816" i="13" l="1"/>
  <c r="J781" i="13"/>
  <c r="AM620" i="13" l="1"/>
  <c r="AO620" i="13"/>
  <c r="AQ620" i="13"/>
  <c r="AM621" i="13"/>
  <c r="AO621" i="13"/>
  <c r="AQ621" i="13"/>
  <c r="AM622" i="13"/>
  <c r="AO622" i="13"/>
  <c r="AQ622" i="13"/>
  <c r="AM623" i="13"/>
  <c r="AO623" i="13"/>
  <c r="AQ623" i="13"/>
  <c r="AQ619" i="13"/>
  <c r="AO619" i="13"/>
  <c r="AM619" i="13"/>
  <c r="AK620" i="13"/>
  <c r="AK621" i="13"/>
  <c r="AK622" i="13"/>
  <c r="AK623" i="13"/>
  <c r="AK619" i="13"/>
  <c r="AI620" i="13"/>
  <c r="AI621" i="13"/>
  <c r="AI622" i="13"/>
  <c r="AI623" i="13"/>
  <c r="AI619" i="13"/>
  <c r="AS623" i="13" l="1"/>
  <c r="AT623" i="13" s="1"/>
  <c r="A634" i="13" s="1"/>
  <c r="AS619" i="13"/>
  <c r="AT619" i="13" s="1"/>
  <c r="A630" i="13" s="1"/>
  <c r="AS622" i="13"/>
  <c r="AT622" i="13" s="1"/>
  <c r="A633" i="13" s="1"/>
  <c r="AS621" i="13"/>
  <c r="AT621" i="13" s="1"/>
  <c r="A632" i="13" s="1"/>
  <c r="AS620" i="13"/>
  <c r="AT620" i="13" s="1"/>
  <c r="A631" i="13" s="1"/>
  <c r="AI977" i="13" l="1"/>
  <c r="K980" i="13"/>
  <c r="AN980" i="13" s="1"/>
  <c r="M981" i="13" s="1"/>
  <c r="K983" i="13"/>
  <c r="AN983" i="13" s="1"/>
  <c r="M984" i="13" s="1"/>
  <c r="K986" i="13"/>
  <c r="AN986" i="13" s="1"/>
  <c r="M987" i="13" s="1"/>
  <c r="K989" i="13"/>
  <c r="AN989" i="13" s="1"/>
  <c r="M990" i="13" s="1"/>
  <c r="K992" i="13"/>
  <c r="AN992" i="13" s="1"/>
  <c r="M993" i="13" s="1"/>
  <c r="K995" i="13"/>
  <c r="AN995" i="13" s="1"/>
  <c r="M996" i="13" s="1"/>
  <c r="K998" i="13"/>
  <c r="AN998" i="13" s="1"/>
  <c r="M999" i="13" s="1"/>
  <c r="AI974" i="13"/>
  <c r="X1335" i="13"/>
  <c r="W1336" i="13" s="1"/>
  <c r="X1336" i="13" s="1"/>
  <c r="W1337" i="13" s="1"/>
  <c r="X1337" i="13" s="1"/>
  <c r="W1338" i="13" s="1"/>
  <c r="X1338" i="13" s="1"/>
  <c r="W1339" i="13" s="1"/>
  <c r="X1339" i="13" s="1"/>
  <c r="W1340" i="13" s="1"/>
  <c r="X1340" i="13" s="1"/>
  <c r="W1341" i="13" s="1"/>
  <c r="X1341" i="13" s="1"/>
  <c r="W1342" i="13" s="1"/>
  <c r="X1342" i="13" s="1"/>
  <c r="G1363" i="13"/>
  <c r="F1371" i="13" s="1"/>
  <c r="G1356" i="13"/>
  <c r="E1371" i="13" s="1"/>
  <c r="G1349" i="13"/>
  <c r="D1371" i="13" s="1"/>
  <c r="G1342" i="13"/>
  <c r="C1371" i="13" s="1"/>
  <c r="G1335" i="13"/>
  <c r="B1371" i="13" s="1"/>
  <c r="B1349" i="13"/>
  <c r="B1356" i="13"/>
  <c r="B1342" i="13"/>
  <c r="B1363" i="13"/>
  <c r="B1335" i="13"/>
  <c r="K974" i="13" l="1"/>
  <c r="AN974" i="13" s="1"/>
  <c r="AI975" i="13"/>
  <c r="K977" i="13"/>
  <c r="AN977" i="13" s="1"/>
  <c r="M978" i="13" s="1"/>
  <c r="AI978" i="13"/>
  <c r="H1342" i="13"/>
  <c r="H1349" i="13"/>
  <c r="H1356" i="13"/>
  <c r="H1335" i="13"/>
  <c r="H1363" i="13"/>
  <c r="M975" i="13" l="1"/>
  <c r="AI1001" i="13"/>
  <c r="H1370" i="13"/>
  <c r="G1371" i="13" s="1"/>
  <c r="U1335" i="13" s="1"/>
  <c r="AN561" i="13" s="1"/>
  <c r="AK1003" i="13" l="1"/>
  <c r="AK1002" i="13"/>
  <c r="AK1004" i="13"/>
  <c r="U1334" i="13"/>
  <c r="AL561" i="13" s="1"/>
  <c r="AI561" i="13" s="1"/>
  <c r="AI562" i="13" s="1"/>
  <c r="B561" i="13" s="1"/>
  <c r="AI1004" i="13" l="1"/>
  <c r="B1003" i="13" s="1"/>
  <c r="AI1002" i="13"/>
  <c r="I1002" i="13" s="1"/>
  <c r="AI1003" i="13"/>
  <c r="J1002" i="13" s="1"/>
  <c r="C40" i="13"/>
  <c r="C47" i="13"/>
  <c r="C48" i="13"/>
  <c r="C34" i="13"/>
  <c r="C31" i="13"/>
  <c r="C30" i="13"/>
  <c r="C29" i="13"/>
  <c r="AJ263" i="13"/>
  <c r="AJ264" i="13"/>
  <c r="AJ265" i="13"/>
  <c r="AJ266" i="13"/>
  <c r="AJ267" i="13"/>
  <c r="AJ268" i="13"/>
  <c r="AJ269" i="13"/>
  <c r="AJ270" i="13"/>
  <c r="AJ271" i="13"/>
  <c r="AJ272" i="13"/>
  <c r="AJ273" i="13"/>
  <c r="AJ262" i="13"/>
  <c r="AI120" i="13"/>
  <c r="AO120" i="13"/>
  <c r="AQ120" i="13"/>
  <c r="AI121" i="13"/>
  <c r="AI122" i="13"/>
  <c r="AO122" i="13"/>
  <c r="AQ122" i="13"/>
  <c r="AI123" i="13"/>
  <c r="AI124" i="13"/>
  <c r="AO124" i="13"/>
  <c r="AQ124" i="13"/>
  <c r="AI125" i="13"/>
  <c r="AK126" i="13"/>
  <c r="AK127" i="13"/>
  <c r="AK286" i="13"/>
  <c r="AS286" i="13"/>
  <c r="H287" i="13" s="1"/>
  <c r="AQ286" i="13"/>
  <c r="B287" i="13" s="1"/>
  <c r="AN235" i="13"/>
  <c r="AL235" i="13"/>
  <c r="AN233" i="13"/>
  <c r="AL233" i="13"/>
  <c r="AI316" i="13"/>
  <c r="AL239" i="13"/>
  <c r="AI239" i="13" s="1"/>
  <c r="AI182" i="13"/>
  <c r="AI680" i="13"/>
  <c r="H871" i="13" l="1"/>
  <c r="E861" i="13"/>
  <c r="H872" i="13" l="1"/>
  <c r="H873" i="13" s="1"/>
  <c r="H874" i="13" s="1"/>
  <c r="H875" i="13" s="1"/>
  <c r="H877" i="13" s="1"/>
  <c r="E862" i="13"/>
  <c r="E669" i="13"/>
  <c r="F887" i="13" s="1"/>
  <c r="F888" i="13" s="1"/>
  <c r="E661" i="13"/>
  <c r="F877" i="13" s="1"/>
  <c r="F878" i="13" s="1"/>
  <c r="F879" i="13" s="1"/>
  <c r="F880" i="13" s="1"/>
  <c r="F881" i="13" s="1"/>
  <c r="E655" i="13"/>
  <c r="G865" i="13" s="1"/>
  <c r="G866" i="13" s="1"/>
  <c r="G867" i="13" s="1"/>
  <c r="G868" i="13" s="1"/>
  <c r="G870" i="13" s="1"/>
  <c r="G871" i="13" s="1"/>
  <c r="E654" i="13"/>
  <c r="F865" i="13" s="1"/>
  <c r="F866" i="13" s="1"/>
  <c r="F867" i="13" s="1"/>
  <c r="F868" i="13" s="1"/>
  <c r="F870" i="13" s="1"/>
  <c r="F871" i="13" s="1"/>
  <c r="G860" i="13"/>
  <c r="E642" i="13"/>
  <c r="F860" i="13" s="1"/>
  <c r="F861" i="13" s="1"/>
  <c r="F862" i="13" s="1"/>
  <c r="F863" i="13" s="1"/>
  <c r="AI673" i="13"/>
  <c r="AI667" i="13"/>
  <c r="AI638" i="13"/>
  <c r="AI372" i="13"/>
  <c r="A1381" i="13"/>
  <c r="B1381" i="13"/>
  <c r="C1381" i="13"/>
  <c r="D1381" i="13"/>
  <c r="A1382" i="13"/>
  <c r="B1382" i="13"/>
  <c r="C1382" i="13"/>
  <c r="D1382" i="13"/>
  <c r="A1383" i="13"/>
  <c r="B1383" i="13"/>
  <c r="C1383" i="13"/>
  <c r="D1383" i="13"/>
  <c r="A1384" i="13"/>
  <c r="B1384" i="13"/>
  <c r="C1384" i="13"/>
  <c r="D1384" i="13"/>
  <c r="A1385" i="13"/>
  <c r="B1385" i="13"/>
  <c r="C1385" i="13"/>
  <c r="D1385" i="13"/>
  <c r="A1386" i="13"/>
  <c r="B1386" i="13"/>
  <c r="C1386" i="13"/>
  <c r="D1386" i="13"/>
  <c r="A1387" i="13"/>
  <c r="B1387" i="13"/>
  <c r="C1387" i="13"/>
  <c r="D1387" i="13"/>
  <c r="A1388" i="13"/>
  <c r="B1388" i="13"/>
  <c r="C1388" i="13"/>
  <c r="D1388" i="13"/>
  <c r="A1389" i="13"/>
  <c r="B1389" i="13"/>
  <c r="C1389" i="13"/>
  <c r="D1389" i="13"/>
  <c r="A1390" i="13"/>
  <c r="B1390" i="13"/>
  <c r="C1390" i="13"/>
  <c r="D1390" i="13"/>
  <c r="A1391" i="13"/>
  <c r="B1391" i="13"/>
  <c r="C1391" i="13"/>
  <c r="D1391" i="13"/>
  <c r="C1380" i="13"/>
  <c r="D1380" i="13"/>
  <c r="A1380" i="13"/>
  <c r="B1380" i="13"/>
  <c r="AI280" i="13"/>
  <c r="B280" i="13" s="1"/>
  <c r="AI307" i="13"/>
  <c r="AI275" i="13"/>
  <c r="AI434" i="13"/>
  <c r="AI226" i="13"/>
  <c r="F889" i="13" l="1"/>
  <c r="F890" i="13" s="1"/>
  <c r="F882" i="13"/>
  <c r="F883" i="13" s="1"/>
  <c r="F884" i="13" s="1"/>
  <c r="F885" i="13" s="1"/>
  <c r="F872" i="13"/>
  <c r="F873" i="13" s="1"/>
  <c r="F874" i="13" s="1"/>
  <c r="F875" i="13" s="1"/>
  <c r="G872" i="13"/>
  <c r="E863" i="13"/>
  <c r="E866" i="13"/>
  <c r="E867" i="13" s="1"/>
  <c r="E868" i="13" s="1"/>
  <c r="D644" i="13"/>
  <c r="G861" i="13"/>
  <c r="G862" i="13" s="1"/>
  <c r="G863" i="13" s="1"/>
  <c r="E656" i="13"/>
  <c r="E660" i="13"/>
  <c r="E877" i="13" s="1"/>
  <c r="AG1377" i="13"/>
  <c r="H358" i="13" s="1"/>
  <c r="J1377" i="13"/>
  <c r="P1377" i="13"/>
  <c r="AK359" i="13" s="1"/>
  <c r="T1377" i="13"/>
  <c r="W1377" i="13"/>
  <c r="B145" i="13" s="1"/>
  <c r="AA1377" i="13"/>
  <c r="H152" i="13" s="1"/>
  <c r="K1377" i="13"/>
  <c r="Q1377" i="13"/>
  <c r="U1377" i="13"/>
  <c r="X1377" i="13"/>
  <c r="B152" i="13" s="1"/>
  <c r="AD1377" i="13"/>
  <c r="B358" i="13" s="1"/>
  <c r="AH1377" i="13"/>
  <c r="H365" i="13" s="1"/>
  <c r="H1377" i="13"/>
  <c r="L1377" i="13"/>
  <c r="R1377" i="13"/>
  <c r="AI1377" i="13"/>
  <c r="H372" i="13" s="1"/>
  <c r="Y1377" i="13"/>
  <c r="H138" i="13" s="1"/>
  <c r="AE1377" i="13"/>
  <c r="B365" i="13" s="1"/>
  <c r="I1377" i="13"/>
  <c r="M1377" i="13"/>
  <c r="S1377" i="13"/>
  <c r="V1377" i="13"/>
  <c r="B138" i="13" s="1"/>
  <c r="Z1377" i="13"/>
  <c r="H145" i="13" s="1"/>
  <c r="AF1377" i="13"/>
  <c r="B372" i="13" s="1"/>
  <c r="C860" i="13"/>
  <c r="C861" i="13" s="1"/>
  <c r="C862" i="13" s="1"/>
  <c r="C863" i="13" s="1"/>
  <c r="C865" i="13" s="1"/>
  <c r="C866" i="13" s="1"/>
  <c r="C867" i="13" s="1"/>
  <c r="C868" i="13" s="1"/>
  <c r="C870" i="13" s="1"/>
  <c r="C871" i="13" s="1"/>
  <c r="B886" i="13"/>
  <c r="B876" i="13"/>
  <c r="B864" i="13"/>
  <c r="AK361" i="13" l="1"/>
  <c r="AI361" i="13" s="1"/>
  <c r="H359" i="13" s="1"/>
  <c r="AK375" i="13"/>
  <c r="AI375" i="13" s="1"/>
  <c r="H373" i="13" s="1"/>
  <c r="AK366" i="13"/>
  <c r="AI366" i="13" s="1"/>
  <c r="B366" i="13" s="1"/>
  <c r="AK368" i="13"/>
  <c r="AI368" i="13" s="1"/>
  <c r="H366" i="13" s="1"/>
  <c r="AK373" i="13"/>
  <c r="AI373" i="13" s="1"/>
  <c r="B373" i="13" s="1"/>
  <c r="AK154" i="13"/>
  <c r="AI154" i="13" s="1"/>
  <c r="B153" i="13" s="1"/>
  <c r="AK140" i="13"/>
  <c r="AI140" i="13" s="1"/>
  <c r="B139" i="13" s="1"/>
  <c r="AK149" i="13"/>
  <c r="AI149" i="13" s="1"/>
  <c r="H146" i="13" s="1"/>
  <c r="AK156" i="13"/>
  <c r="AI156" i="13" s="1"/>
  <c r="H153" i="13" s="1"/>
  <c r="AK147" i="13"/>
  <c r="AI147" i="13" s="1"/>
  <c r="B146" i="13" s="1"/>
  <c r="AK142" i="13"/>
  <c r="AI142" i="13" s="1"/>
  <c r="H139" i="13" s="1"/>
  <c r="AI359" i="13"/>
  <c r="B359" i="13" s="1"/>
  <c r="G873" i="13"/>
  <c r="C872" i="13"/>
  <c r="C873" i="13" s="1"/>
  <c r="C874" i="13" s="1"/>
  <c r="C875" i="13" s="1"/>
  <c r="C877" i="13" s="1"/>
  <c r="C878" i="13" s="1"/>
  <c r="C879" i="13" s="1"/>
  <c r="C880" i="13" s="1"/>
  <c r="C881" i="13" s="1"/>
  <c r="M648" i="13"/>
  <c r="M649" i="13" s="1"/>
  <c r="K650" i="13" s="1"/>
  <c r="M650" i="13" s="1"/>
  <c r="E672" i="13"/>
  <c r="I887" i="13" s="1"/>
  <c r="I888" i="13" s="1"/>
  <c r="I889" i="13" s="1"/>
  <c r="I890" i="13" s="1"/>
  <c r="K641" i="13"/>
  <c r="M641" i="13" s="1"/>
  <c r="K860" i="13"/>
  <c r="L860" i="13" s="1"/>
  <c r="E878" i="13"/>
  <c r="E879" i="13" s="1"/>
  <c r="E880" i="13" s="1"/>
  <c r="E881" i="13" s="1"/>
  <c r="E871" i="13"/>
  <c r="E872" i="13" s="1"/>
  <c r="E873" i="13" s="1"/>
  <c r="E874" i="13" s="1"/>
  <c r="K870" i="13"/>
  <c r="K863" i="13"/>
  <c r="K861" i="13"/>
  <c r="K862" i="13"/>
  <c r="D657" i="13"/>
  <c r="K654" i="13" s="1"/>
  <c r="H865" i="13"/>
  <c r="E671" i="13"/>
  <c r="H887" i="13" s="1"/>
  <c r="H888" i="13" s="1"/>
  <c r="H889" i="13" s="1"/>
  <c r="E662" i="13"/>
  <c r="G877" i="13" s="1"/>
  <c r="G878" i="13" s="1"/>
  <c r="G879" i="13" s="1"/>
  <c r="G880" i="13" s="1"/>
  <c r="G881" i="13" s="1"/>
  <c r="E670" i="13"/>
  <c r="G887" i="13" s="1"/>
  <c r="G888" i="13" s="1"/>
  <c r="E663" i="13"/>
  <c r="E664" i="13"/>
  <c r="I877" i="13" s="1"/>
  <c r="I878" i="13" s="1"/>
  <c r="I879" i="13" s="1"/>
  <c r="I880" i="13" s="1"/>
  <c r="I881" i="13" s="1"/>
  <c r="H890" i="13" l="1"/>
  <c r="G889" i="13"/>
  <c r="G890" i="13" s="1"/>
  <c r="I882" i="13"/>
  <c r="I883" i="13" s="1"/>
  <c r="I884" i="13" s="1"/>
  <c r="I885" i="13" s="1"/>
  <c r="K873" i="13"/>
  <c r="G874" i="13"/>
  <c r="E882" i="13"/>
  <c r="G882" i="13"/>
  <c r="G883" i="13" s="1"/>
  <c r="G884" i="13" s="1"/>
  <c r="G885" i="13" s="1"/>
  <c r="K872" i="13"/>
  <c r="C882" i="13"/>
  <c r="C883" i="13" s="1"/>
  <c r="C884" i="13" s="1"/>
  <c r="C885" i="13" s="1"/>
  <c r="C887" i="13" s="1"/>
  <c r="C888" i="13" s="1"/>
  <c r="C889" i="13" s="1"/>
  <c r="C890" i="13" s="1"/>
  <c r="K642" i="13"/>
  <c r="M642" i="13" s="1"/>
  <c r="K643" i="13"/>
  <c r="K653" i="13"/>
  <c r="M653" i="13" s="1"/>
  <c r="K655" i="13"/>
  <c r="L861" i="13"/>
  <c r="L862" i="13" s="1"/>
  <c r="L863" i="13" s="1"/>
  <c r="K871" i="13"/>
  <c r="K877" i="13"/>
  <c r="H878" i="13"/>
  <c r="H866" i="13"/>
  <c r="K865" i="13"/>
  <c r="D665" i="13"/>
  <c r="AR1314" i="13"/>
  <c r="AR1313" i="13"/>
  <c r="AR1312" i="13"/>
  <c r="AR1311" i="13"/>
  <c r="AR1310" i="13"/>
  <c r="AR1309" i="13"/>
  <c r="AR1308" i="13"/>
  <c r="AR1307" i="13"/>
  <c r="AR1306" i="13"/>
  <c r="AR1305" i="13"/>
  <c r="AR1304" i="13"/>
  <c r="AR1303" i="13"/>
  <c r="AQ1300" i="13"/>
  <c r="AP1300" i="13"/>
  <c r="AO1300" i="13"/>
  <c r="AN1300" i="13"/>
  <c r="AM1300" i="13"/>
  <c r="AL1300" i="13"/>
  <c r="AK1300" i="13"/>
  <c r="AJ1300" i="13"/>
  <c r="AI1300" i="13"/>
  <c r="AN302" i="13" s="1"/>
  <c r="AH1300" i="13"/>
  <c r="AN305" i="13" s="1"/>
  <c r="AG1300" i="13"/>
  <c r="AF1300" i="13"/>
  <c r="AI233" i="13" s="1"/>
  <c r="AE1300" i="13"/>
  <c r="AD1300" i="13"/>
  <c r="AA1300" i="13"/>
  <c r="Z1300" i="13"/>
  <c r="Y1300" i="13"/>
  <c r="X1300" i="13"/>
  <c r="W1300" i="13"/>
  <c r="V1300" i="13"/>
  <c r="U1300" i="13"/>
  <c r="AL255" i="13" s="1"/>
  <c r="T1300" i="13"/>
  <c r="AL252" i="13" s="1"/>
  <c r="S1300" i="13"/>
  <c r="AL215" i="13" s="1"/>
  <c r="R1300" i="13"/>
  <c r="AL212" i="13" s="1"/>
  <c r="Q1300" i="13"/>
  <c r="P1300" i="13"/>
  <c r="M1300" i="13"/>
  <c r="L1300" i="13"/>
  <c r="K1300" i="13"/>
  <c r="J1300" i="13"/>
  <c r="I1300" i="13"/>
  <c r="AQ167" i="13" s="1"/>
  <c r="H1300" i="13"/>
  <c r="G1300" i="13"/>
  <c r="F1300" i="13"/>
  <c r="D1300" i="13"/>
  <c r="AL129" i="13" s="1"/>
  <c r="C1300" i="13"/>
  <c r="AN160" i="13" s="1"/>
  <c r="I1293" i="13"/>
  <c r="H1293" i="13"/>
  <c r="I1292" i="13"/>
  <c r="H1292" i="13"/>
  <c r="I1291" i="13"/>
  <c r="H1291" i="13"/>
  <c r="I1290" i="13"/>
  <c r="H1290" i="13"/>
  <c r="I1289" i="13"/>
  <c r="H1289" i="13"/>
  <c r="I1288" i="13"/>
  <c r="H1288" i="13"/>
  <c r="I1287" i="13"/>
  <c r="H1287" i="13"/>
  <c r="I1286" i="13"/>
  <c r="H1286" i="13"/>
  <c r="A1286" i="13"/>
  <c r="A1287" i="13" s="1"/>
  <c r="A1288" i="13" s="1"/>
  <c r="A1289" i="13" s="1"/>
  <c r="A1290" i="13" s="1"/>
  <c r="A1291" i="13" s="1"/>
  <c r="A1292" i="13" s="1"/>
  <c r="A1293" i="13" s="1"/>
  <c r="I1285" i="13"/>
  <c r="H1285" i="13"/>
  <c r="I1284" i="13"/>
  <c r="H1284" i="13"/>
  <c r="I1283" i="13"/>
  <c r="H1283" i="13"/>
  <c r="I1282" i="13"/>
  <c r="H1282" i="13"/>
  <c r="A1282" i="13"/>
  <c r="A1281" i="13" s="1"/>
  <c r="A1280" i="13" s="1"/>
  <c r="A1279" i="13" s="1"/>
  <c r="A1278" i="13" s="1"/>
  <c r="A1277" i="13" s="1"/>
  <c r="A1276" i="13" s="1"/>
  <c r="I1281" i="13"/>
  <c r="H1281" i="13"/>
  <c r="I1280" i="13"/>
  <c r="H1280" i="13"/>
  <c r="I1279" i="13"/>
  <c r="H1279" i="13"/>
  <c r="I1278" i="13"/>
  <c r="H1278" i="13"/>
  <c r="I1277" i="13"/>
  <c r="H1277" i="13"/>
  <c r="I1276" i="13"/>
  <c r="H1276" i="13"/>
  <c r="B1272" i="13"/>
  <c r="B1270" i="13"/>
  <c r="AI970" i="13"/>
  <c r="AI714" i="13"/>
  <c r="AI751" i="13"/>
  <c r="AK128" i="13"/>
  <c r="AI119" i="13"/>
  <c r="AQ118" i="13"/>
  <c r="AO118" i="13"/>
  <c r="AI118" i="13"/>
  <c r="AI117" i="13"/>
  <c r="AQ116" i="13"/>
  <c r="AO116" i="13"/>
  <c r="AI116" i="13"/>
  <c r="AI115" i="13"/>
  <c r="AQ114" i="13"/>
  <c r="AO114" i="13"/>
  <c r="AI114" i="13"/>
  <c r="AI113" i="13"/>
  <c r="AQ112" i="13"/>
  <c r="AO112" i="13"/>
  <c r="AI112" i="13"/>
  <c r="AI111" i="13"/>
  <c r="AQ110" i="13"/>
  <c r="AQ126" i="13" s="1"/>
  <c r="AQ127" i="13" s="1"/>
  <c r="AO110" i="13"/>
  <c r="AO126" i="13" s="1"/>
  <c r="AO127" i="13" s="1"/>
  <c r="AI110" i="13"/>
  <c r="C52" i="13"/>
  <c r="C46" i="13"/>
  <c r="C45" i="13"/>
  <c r="C39" i="13"/>
  <c r="C38" i="13"/>
  <c r="C37" i="13"/>
  <c r="C36" i="13"/>
  <c r="C35" i="13"/>
  <c r="AL426" i="13" l="1"/>
  <c r="AI426" i="13" s="1"/>
  <c r="AI424" i="13" s="1"/>
  <c r="A424" i="13" s="1"/>
  <c r="AL349" i="13"/>
  <c r="AI349" i="13" s="1"/>
  <c r="B349" i="13" s="1"/>
  <c r="C33" i="13" s="1"/>
  <c r="AL1013" i="13"/>
  <c r="AL1021" i="13" s="1"/>
  <c r="AP160" i="13"/>
  <c r="AL160" i="13"/>
  <c r="AJ232" i="13"/>
  <c r="B230" i="13" s="1"/>
  <c r="K874" i="13"/>
  <c r="G875" i="13"/>
  <c r="K882" i="13"/>
  <c r="E883" i="13"/>
  <c r="E884" i="13" s="1"/>
  <c r="E885" i="13" s="1"/>
  <c r="M654" i="13"/>
  <c r="M655" i="13" s="1"/>
  <c r="K656" i="13" s="1"/>
  <c r="M656" i="13" s="1"/>
  <c r="K660" i="13"/>
  <c r="M660" i="13" s="1"/>
  <c r="K662" i="13"/>
  <c r="K661" i="13"/>
  <c r="M643" i="13"/>
  <c r="K644" i="13" s="1"/>
  <c r="M860" i="13" s="1"/>
  <c r="M861" i="13" s="1"/>
  <c r="M862" i="13" s="1"/>
  <c r="M863" i="13" s="1"/>
  <c r="AN340" i="13"/>
  <c r="AN744" i="13"/>
  <c r="AP230" i="13"/>
  <c r="AL167" i="13"/>
  <c r="AL312" i="13"/>
  <c r="AI312" i="13" s="1"/>
  <c r="B312" i="13" s="1"/>
  <c r="C32" i="13" s="1"/>
  <c r="AL385" i="13"/>
  <c r="AI385" i="13" s="1"/>
  <c r="AI126" i="13"/>
  <c r="AK95" i="13" s="1"/>
  <c r="B127" i="13" s="1"/>
  <c r="AN255" i="13"/>
  <c r="AI255" i="13" s="1"/>
  <c r="AN252" i="13"/>
  <c r="AI252" i="13" s="1"/>
  <c r="AN301" i="13"/>
  <c r="AN215" i="13"/>
  <c r="AL328" i="13"/>
  <c r="AN326" i="13"/>
  <c r="AL301" i="13"/>
  <c r="AI301" i="13" s="1"/>
  <c r="AL302" i="13"/>
  <c r="AI235" i="13"/>
  <c r="AJ234" i="13" s="1"/>
  <c r="AL326" i="13"/>
  <c r="AI326" i="13" s="1"/>
  <c r="AN328" i="13"/>
  <c r="AL304" i="13"/>
  <c r="AL305" i="13"/>
  <c r="AN304" i="13"/>
  <c r="AN212" i="13"/>
  <c r="AX340" i="13"/>
  <c r="AN332" i="13"/>
  <c r="AL332" i="13"/>
  <c r="AR340" i="13"/>
  <c r="AT244" i="13"/>
  <c r="AR317" i="13"/>
  <c r="AP317" i="13"/>
  <c r="AR308" i="13"/>
  <c r="AP308" i="13"/>
  <c r="AN308" i="13"/>
  <c r="AL308" i="13"/>
  <c r="AI129" i="13"/>
  <c r="B129" i="13" s="1"/>
  <c r="C27" i="13" s="1"/>
  <c r="AL191" i="13"/>
  <c r="AI191" i="13" s="1"/>
  <c r="K189" i="13" s="1"/>
  <c r="AL190" i="13"/>
  <c r="AI190" i="13" s="1"/>
  <c r="B189" i="13" s="1"/>
  <c r="AL380" i="13"/>
  <c r="L865" i="13"/>
  <c r="AQ128" i="13"/>
  <c r="AP91" i="13" s="1"/>
  <c r="AN89" i="13"/>
  <c r="A1272" i="13"/>
  <c r="E1272" i="13" s="1"/>
  <c r="E875" i="13"/>
  <c r="K878" i="13"/>
  <c r="H879" i="13"/>
  <c r="K866" i="13"/>
  <c r="H867" i="13"/>
  <c r="E673" i="13"/>
  <c r="J1282" i="13"/>
  <c r="A1270" i="13"/>
  <c r="E1270" i="13" s="1"/>
  <c r="AT207" i="13"/>
  <c r="AL170" i="13"/>
  <c r="AR223" i="13"/>
  <c r="AP207" i="13"/>
  <c r="AL223" i="13"/>
  <c r="AL197" i="13"/>
  <c r="AI197" i="13" s="1"/>
  <c r="B197" i="13" s="1"/>
  <c r="AR207" i="13"/>
  <c r="AS184" i="13"/>
  <c r="AI109" i="13"/>
  <c r="AK93" i="13" s="1"/>
  <c r="AL165" i="13"/>
  <c r="AI165" i="13" s="1"/>
  <c r="B165" i="13" s="1"/>
  <c r="C28" i="13" s="1"/>
  <c r="J1277" i="13"/>
  <c r="J1288" i="13"/>
  <c r="J1286" i="13"/>
  <c r="J1287" i="13"/>
  <c r="J1289" i="13"/>
  <c r="J1291" i="13"/>
  <c r="J1293" i="13"/>
  <c r="J1279" i="13"/>
  <c r="J1285" i="13"/>
  <c r="J1290" i="13"/>
  <c r="J1292" i="13"/>
  <c r="J1276" i="13"/>
  <c r="J1278" i="13"/>
  <c r="J1281" i="13"/>
  <c r="J1284" i="13"/>
  <c r="AI740" i="13"/>
  <c r="AI738" i="13" s="1"/>
  <c r="B740" i="13" s="1"/>
  <c r="J1280" i="13"/>
  <c r="J1283" i="13"/>
  <c r="E1170" i="12"/>
  <c r="E1165" i="12"/>
  <c r="AL1018" i="13" l="1"/>
  <c r="AI1018" i="13" s="1"/>
  <c r="B1018" i="13" s="1"/>
  <c r="AN380" i="13"/>
  <c r="AP380" i="13" s="1"/>
  <c r="AI328" i="13"/>
  <c r="J325" i="13" s="1"/>
  <c r="B251" i="13"/>
  <c r="K251" i="13"/>
  <c r="AI1013" i="13"/>
  <c r="AI1014" i="13" s="1"/>
  <c r="AN1021" i="13" s="1"/>
  <c r="AI1021" i="13" s="1"/>
  <c r="B1021" i="13" s="1"/>
  <c r="AI304" i="13"/>
  <c r="J300" i="13" s="1"/>
  <c r="AI305" i="13"/>
  <c r="J305" i="13" s="1"/>
  <c r="AL1027" i="13"/>
  <c r="AK1026" i="13" s="1"/>
  <c r="AI302" i="13"/>
  <c r="B305" i="13" s="1"/>
  <c r="AI332" i="13"/>
  <c r="B332" i="13" s="1"/>
  <c r="K875" i="13"/>
  <c r="M865" i="13"/>
  <c r="M866" i="13" s="1"/>
  <c r="M867" i="13" s="1"/>
  <c r="M868" i="13" s="1"/>
  <c r="M870" i="13" s="1"/>
  <c r="M871" i="13" s="1"/>
  <c r="M661" i="13"/>
  <c r="M662" i="13" s="1"/>
  <c r="K663" i="13" s="1"/>
  <c r="M644" i="13"/>
  <c r="L866" i="13"/>
  <c r="AI167" i="13"/>
  <c r="B167" i="13" s="1"/>
  <c r="AM1296" i="13"/>
  <c r="U1298" i="13"/>
  <c r="M230" i="13"/>
  <c r="Q1299" i="13"/>
  <c r="K1299" i="13"/>
  <c r="J1299" i="13"/>
  <c r="B300" i="13"/>
  <c r="B325" i="13"/>
  <c r="I214" i="13"/>
  <c r="C214" i="13"/>
  <c r="AI160" i="13"/>
  <c r="B160" i="13" s="1"/>
  <c r="AJ1299" i="13"/>
  <c r="V1299" i="13"/>
  <c r="AN244" i="13" s="1"/>
  <c r="AQ1299" i="13"/>
  <c r="AR294" i="13" s="1"/>
  <c r="AI1299" i="13"/>
  <c r="AN317" i="13" s="1"/>
  <c r="U1299" i="13"/>
  <c r="Y1299" i="13"/>
  <c r="AN91" i="13"/>
  <c r="G1270" i="13" s="1"/>
  <c r="I1270" i="13" s="1"/>
  <c r="AO128" i="13"/>
  <c r="AP89" i="13" s="1"/>
  <c r="AK89" i="13"/>
  <c r="Z1299" i="13"/>
  <c r="AN1299" i="13"/>
  <c r="AO1299" i="13"/>
  <c r="AS85" i="13"/>
  <c r="AO85" i="13" s="1"/>
  <c r="AK85" i="13" s="1"/>
  <c r="M1299" i="13"/>
  <c r="AL178" i="13" s="1"/>
  <c r="AF1299" i="13"/>
  <c r="AL230" i="13" s="1"/>
  <c r="I1299" i="13"/>
  <c r="AH1299" i="13"/>
  <c r="AL317" i="13" s="1"/>
  <c r="W1299" i="13"/>
  <c r="AR244" i="13" s="1"/>
  <c r="H1299" i="13"/>
  <c r="L1299" i="13"/>
  <c r="AL175" i="13" s="1"/>
  <c r="AP1299" i="13"/>
  <c r="AN294" i="13" s="1"/>
  <c r="AA1299" i="13"/>
  <c r="G1272" i="13"/>
  <c r="I1272" i="13" s="1"/>
  <c r="AK1299" i="13"/>
  <c r="T1299" i="13"/>
  <c r="AL244" i="13" s="1"/>
  <c r="AG1299" i="13"/>
  <c r="AN230" i="13" s="1"/>
  <c r="R1299" i="13"/>
  <c r="AL1299" i="13"/>
  <c r="S1299" i="13"/>
  <c r="AM1299" i="13"/>
  <c r="P1299" i="13"/>
  <c r="X1299" i="13"/>
  <c r="H880" i="13"/>
  <c r="K879" i="13"/>
  <c r="D674" i="13"/>
  <c r="J887" i="13"/>
  <c r="K867" i="13"/>
  <c r="H868" i="13"/>
  <c r="K868" i="13" s="1"/>
  <c r="B1296" i="13"/>
  <c r="AI308" i="13"/>
  <c r="AK1296" i="13"/>
  <c r="R1298" i="13"/>
  <c r="X1298" i="13"/>
  <c r="P1298" i="13"/>
  <c r="AH1298" i="13"/>
  <c r="AI1298" i="13"/>
  <c r="M1298" i="13"/>
  <c r="Q1298" i="13"/>
  <c r="AA1298" i="13"/>
  <c r="AL1298" i="13"/>
  <c r="L1298" i="13"/>
  <c r="AF1298" i="13"/>
  <c r="H1298" i="13"/>
  <c r="T1298" i="13"/>
  <c r="AO1298" i="13"/>
  <c r="AN1298" i="13"/>
  <c r="AG1298" i="13"/>
  <c r="I1298" i="13"/>
  <c r="AS86" i="13"/>
  <c r="AO86" i="13" s="1"/>
  <c r="AK86" i="13" s="1"/>
  <c r="AJ1296" i="13"/>
  <c r="V1298" i="13"/>
  <c r="AP1298" i="13"/>
  <c r="S1298" i="13"/>
  <c r="AM1298" i="13"/>
  <c r="J1294" i="13"/>
  <c r="K1294" i="13" s="1"/>
  <c r="AK1298" i="13"/>
  <c r="AJ1298" i="13"/>
  <c r="Y1298" i="13"/>
  <c r="AL1296" i="13"/>
  <c r="Z1298" i="13"/>
  <c r="W1298" i="13"/>
  <c r="AQ1298" i="13"/>
  <c r="BH664" i="12"/>
  <c r="BH662" i="12"/>
  <c r="BH660" i="12"/>
  <c r="BH658" i="12"/>
  <c r="BF590" i="12"/>
  <c r="BF585" i="12"/>
  <c r="BF575" i="12"/>
  <c r="E1160" i="12"/>
  <c r="BI580" i="12" s="1"/>
  <c r="BF580" i="12" s="1"/>
  <c r="B580" i="12" s="1"/>
  <c r="AP294" i="13" l="1"/>
  <c r="AP223" i="13"/>
  <c r="AL294" i="13"/>
  <c r="AN223" i="13"/>
  <c r="AO1014" i="13"/>
  <c r="B1027" i="13" s="1"/>
  <c r="AI1024" i="13"/>
  <c r="B1028" i="13" s="1"/>
  <c r="AI380" i="13"/>
  <c r="B380" i="13" s="1"/>
  <c r="D230" i="13"/>
  <c r="B317" i="13"/>
  <c r="AP170" i="13"/>
  <c r="AN175" i="13"/>
  <c r="AN184" i="13"/>
  <c r="AN178" i="13"/>
  <c r="AQ184" i="13"/>
  <c r="AP184" i="13" s="1"/>
  <c r="AL179" i="13"/>
  <c r="AU170" i="13"/>
  <c r="AT170" i="13" s="1"/>
  <c r="AL176" i="13"/>
  <c r="K887" i="13"/>
  <c r="J888" i="13"/>
  <c r="M872" i="13"/>
  <c r="M873" i="13" s="1"/>
  <c r="M874" i="13" s="1"/>
  <c r="M875" i="13" s="1"/>
  <c r="M877" i="13" s="1"/>
  <c r="K668" i="13"/>
  <c r="M668" i="13" s="1"/>
  <c r="K670" i="13"/>
  <c r="K669" i="13"/>
  <c r="M663" i="13"/>
  <c r="L867" i="13"/>
  <c r="L868" i="13" s="1"/>
  <c r="L870" i="13" s="1"/>
  <c r="L871" i="13" s="1"/>
  <c r="AL184" i="13"/>
  <c r="AV340" i="13"/>
  <c r="AN170" i="13"/>
  <c r="AT340" i="13"/>
  <c r="AL207" i="13"/>
  <c r="AP340" i="13"/>
  <c r="AN207" i="13"/>
  <c r="AL340" i="13"/>
  <c r="AP244" i="13"/>
  <c r="AK91" i="13"/>
  <c r="K880" i="13"/>
  <c r="AI665" i="13"/>
  <c r="AI849" i="13"/>
  <c r="AI846" i="13" s="1"/>
  <c r="AI744" i="13"/>
  <c r="AI742" i="13" s="1"/>
  <c r="B744" i="13" s="1"/>
  <c r="AN759" i="13"/>
  <c r="AL759" i="13"/>
  <c r="AI787" i="13"/>
  <c r="AI785" i="13" s="1"/>
  <c r="BI318" i="12"/>
  <c r="BF318" i="12" s="1"/>
  <c r="G1165" i="12"/>
  <c r="BH320" i="12" s="1"/>
  <c r="B207" i="13" l="1"/>
  <c r="B223" i="13"/>
  <c r="B340" i="13"/>
  <c r="B184" i="13"/>
  <c r="B294" i="13"/>
  <c r="B178" i="13"/>
  <c r="J175" i="13"/>
  <c r="AR170" i="13"/>
  <c r="B170" i="13" s="1"/>
  <c r="J178" i="13"/>
  <c r="B175" i="13"/>
  <c r="J889" i="13"/>
  <c r="K888" i="13"/>
  <c r="L872" i="13"/>
  <c r="L873" i="13" s="1"/>
  <c r="L874" i="13" s="1"/>
  <c r="L875" i="13" s="1"/>
  <c r="L877" i="13" s="1"/>
  <c r="L878" i="13" s="1"/>
  <c r="L879" i="13" s="1"/>
  <c r="L880" i="13" s="1"/>
  <c r="M878" i="13"/>
  <c r="M879" i="13" s="1"/>
  <c r="M880" i="13" s="1"/>
  <c r="M881" i="13" s="1"/>
  <c r="M882" i="13" s="1"/>
  <c r="M883" i="13" s="1"/>
  <c r="M884" i="13" s="1"/>
  <c r="M885" i="13" s="1"/>
  <c r="M887" i="13" s="1"/>
  <c r="M669" i="13"/>
  <c r="M670" i="13" s="1"/>
  <c r="B244" i="13"/>
  <c r="K881" i="13"/>
  <c r="AI759" i="13"/>
  <c r="AI757" i="13" s="1"/>
  <c r="C51" i="12"/>
  <c r="C50" i="12"/>
  <c r="C49" i="12"/>
  <c r="C48" i="12"/>
  <c r="C47" i="12"/>
  <c r="C46" i="12"/>
  <c r="C45" i="12"/>
  <c r="C44" i="12"/>
  <c r="C43" i="12"/>
  <c r="C42" i="12"/>
  <c r="C41" i="12"/>
  <c r="C40" i="12"/>
  <c r="C39" i="12"/>
  <c r="C38" i="12"/>
  <c r="C37" i="12"/>
  <c r="C36" i="12"/>
  <c r="C35" i="12"/>
  <c r="J890" i="13" l="1"/>
  <c r="K890" i="13" s="1"/>
  <c r="K889" i="13"/>
  <c r="K671" i="13"/>
  <c r="M888" i="13" s="1"/>
  <c r="M889" i="13" s="1"/>
  <c r="M890" i="13" s="1"/>
  <c r="L881" i="13"/>
  <c r="L882" i="13" s="1"/>
  <c r="BF116" i="12"/>
  <c r="BF117" i="12"/>
  <c r="BF118" i="12"/>
  <c r="BF119" i="12"/>
  <c r="BF120" i="12"/>
  <c r="BF121" i="12"/>
  <c r="BF122" i="12"/>
  <c r="BF115" i="12"/>
  <c r="BF108" i="12"/>
  <c r="BF109" i="12"/>
  <c r="BF110" i="12"/>
  <c r="BF111" i="12"/>
  <c r="BF112" i="12"/>
  <c r="BF113" i="12"/>
  <c r="BF114" i="12"/>
  <c r="BF107" i="12"/>
  <c r="BH125" i="12"/>
  <c r="BH124" i="12"/>
  <c r="BH123" i="12"/>
  <c r="BN121" i="12"/>
  <c r="BL121" i="12"/>
  <c r="BN119" i="12"/>
  <c r="BL119" i="12"/>
  <c r="BN117" i="12"/>
  <c r="BL117" i="12"/>
  <c r="BN115" i="12"/>
  <c r="BL115" i="12"/>
  <c r="BN113" i="12"/>
  <c r="BL113" i="12"/>
  <c r="BN111" i="12"/>
  <c r="BL111" i="12"/>
  <c r="BL109" i="12"/>
  <c r="BN109" i="12"/>
  <c r="BN107" i="12"/>
  <c r="BL107" i="12"/>
  <c r="BF380" i="12"/>
  <c r="BF463" i="12"/>
  <c r="BF388" i="12"/>
  <c r="BF354" i="12"/>
  <c r="M671" i="13" l="1"/>
  <c r="BF106" i="12"/>
  <c r="BF123" i="12"/>
  <c r="BN123" i="12"/>
  <c r="BL123" i="12"/>
  <c r="BL124" i="12" l="1"/>
  <c r="BK88" i="12" s="1"/>
  <c r="BL125" i="12"/>
  <c r="BM88" i="12" s="1"/>
  <c r="BN125" i="12"/>
  <c r="BM90" i="12" s="1"/>
  <c r="BN124" i="12"/>
  <c r="BH88" i="12" l="1"/>
  <c r="BH92" i="12" s="1"/>
  <c r="BK90" i="12"/>
  <c r="BH90" i="12" s="1"/>
  <c r="BH94" i="12" s="1"/>
  <c r="BF454" i="12" l="1"/>
  <c r="W1124" i="12"/>
  <c r="V1124" i="12"/>
  <c r="H883" i="13" l="1"/>
  <c r="BM204" i="12"/>
  <c r="H884" i="13" l="1"/>
  <c r="K883" i="13"/>
  <c r="BM205" i="12"/>
  <c r="E318" i="12"/>
  <c r="BK1124" i="12"/>
  <c r="BL1124" i="12"/>
  <c r="BM1124" i="12"/>
  <c r="BN1124" i="12"/>
  <c r="BO1128" i="12"/>
  <c r="BO1129" i="12"/>
  <c r="BO1130" i="12"/>
  <c r="BO1131" i="12"/>
  <c r="BO1132" i="12"/>
  <c r="BO1133" i="12"/>
  <c r="BO1134" i="12"/>
  <c r="BO1135" i="12"/>
  <c r="BO1136" i="12"/>
  <c r="BO1137" i="12"/>
  <c r="BO1138" i="12"/>
  <c r="BO1127" i="12"/>
  <c r="BF1124" i="12"/>
  <c r="BE1124" i="12"/>
  <c r="BJ1124" i="12"/>
  <c r="BI1124" i="12"/>
  <c r="BH1124" i="12"/>
  <c r="BG1124" i="12"/>
  <c r="I1101" i="12"/>
  <c r="I1102" i="12"/>
  <c r="I1103" i="12"/>
  <c r="I1104" i="12"/>
  <c r="I1105" i="12"/>
  <c r="I1106" i="12"/>
  <c r="I1107" i="12"/>
  <c r="I1108" i="12"/>
  <c r="I1109" i="12"/>
  <c r="I1110" i="12"/>
  <c r="I1111" i="12"/>
  <c r="I1112" i="12"/>
  <c r="I1113" i="12"/>
  <c r="I1114" i="12"/>
  <c r="I1115" i="12"/>
  <c r="I1116" i="12"/>
  <c r="I1117" i="12"/>
  <c r="I1100" i="12"/>
  <c r="H1101" i="12"/>
  <c r="H1102" i="12"/>
  <c r="H1103" i="12"/>
  <c r="H1104" i="12"/>
  <c r="H1105" i="12"/>
  <c r="H1106" i="12"/>
  <c r="H1107" i="12"/>
  <c r="H1108" i="12"/>
  <c r="H1109" i="12"/>
  <c r="H1110" i="12"/>
  <c r="H1111" i="12"/>
  <c r="H1112" i="12"/>
  <c r="H1113" i="12"/>
  <c r="H1114" i="12"/>
  <c r="H1115" i="12"/>
  <c r="H1116" i="12"/>
  <c r="H1117" i="12"/>
  <c r="H1100" i="12"/>
  <c r="BF139" i="12"/>
  <c r="BN175" i="12"/>
  <c r="F1124" i="12"/>
  <c r="G1124" i="12"/>
  <c r="H1124" i="12"/>
  <c r="I1124" i="12"/>
  <c r="J1124" i="12"/>
  <c r="K1124" i="12"/>
  <c r="L1124" i="12"/>
  <c r="M1124" i="12"/>
  <c r="P1124" i="12"/>
  <c r="Q1124" i="12"/>
  <c r="R1124" i="12"/>
  <c r="S1124" i="12"/>
  <c r="T1124" i="12"/>
  <c r="U1124" i="12"/>
  <c r="BA1124" i="12"/>
  <c r="BB1124" i="12"/>
  <c r="BC1124" i="12"/>
  <c r="BD1124" i="12"/>
  <c r="X1124" i="12"/>
  <c r="BK167" i="12" s="1"/>
  <c r="Y1124" i="12"/>
  <c r="Z1124" i="12"/>
  <c r="AA1124" i="12"/>
  <c r="C1124" i="12"/>
  <c r="BI249" i="12" s="1"/>
  <c r="D1124" i="12"/>
  <c r="BF143" i="12"/>
  <c r="B1096" i="12"/>
  <c r="B1169" i="12"/>
  <c r="B1164" i="12"/>
  <c r="B1159" i="12"/>
  <c r="B1124" i="12"/>
  <c r="B1094" i="12"/>
  <c r="A1110" i="12"/>
  <c r="A1111" i="12" s="1"/>
  <c r="A1106" i="12"/>
  <c r="A1105" i="12" s="1"/>
  <c r="A1104" i="12" s="1"/>
  <c r="L883" i="13" l="1"/>
  <c r="H885" i="13"/>
  <c r="K885" i="13" s="1"/>
  <c r="K884" i="13"/>
  <c r="BM270" i="12"/>
  <c r="BI270" i="12"/>
  <c r="BK270" i="12"/>
  <c r="BI515" i="12"/>
  <c r="BO398" i="12"/>
  <c r="BJ472" i="12"/>
  <c r="BI472" i="12"/>
  <c r="BI235" i="12"/>
  <c r="BI411" i="12"/>
  <c r="BI404" i="12"/>
  <c r="BK411" i="12"/>
  <c r="BO203" i="12"/>
  <c r="BM231" i="12"/>
  <c r="BI231" i="12"/>
  <c r="BK231" i="12"/>
  <c r="BF515" i="12"/>
  <c r="B515" i="12" s="1"/>
  <c r="BI207" i="12"/>
  <c r="BM494" i="12"/>
  <c r="BM418" i="12"/>
  <c r="BO418" i="12" s="1"/>
  <c r="BM447" i="12"/>
  <c r="BM430" i="12"/>
  <c r="BK430" i="12"/>
  <c r="BK153" i="12"/>
  <c r="BI244" i="12"/>
  <c r="J1117" i="12"/>
  <c r="J1116" i="12"/>
  <c r="J1112" i="12"/>
  <c r="J1108" i="12"/>
  <c r="J1104" i="12"/>
  <c r="J1113" i="12"/>
  <c r="J1109" i="12"/>
  <c r="J1105" i="12"/>
  <c r="J1101" i="12"/>
  <c r="BM167" i="12"/>
  <c r="J1115" i="12"/>
  <c r="J1111" i="12"/>
  <c r="J1107" i="12"/>
  <c r="J1103" i="12"/>
  <c r="J1100" i="12"/>
  <c r="J1114" i="12"/>
  <c r="J1110" i="12"/>
  <c r="J1106" i="12"/>
  <c r="J1102" i="12"/>
  <c r="BI138" i="12"/>
  <c r="BF138" i="12" s="1"/>
  <c r="B139" i="12" s="1"/>
  <c r="BI175" i="12"/>
  <c r="BI167" i="12"/>
  <c r="BM175" i="12"/>
  <c r="BK175" i="12"/>
  <c r="BI153" i="12"/>
  <c r="A1103" i="12"/>
  <c r="A1112" i="12"/>
  <c r="A1113" i="12" s="1"/>
  <c r="A1114" i="12" s="1"/>
  <c r="A1115" i="12" s="1"/>
  <c r="A1116" i="12" s="1"/>
  <c r="A1117" i="12" s="1"/>
  <c r="L884" i="13" l="1"/>
  <c r="L885" i="13" s="1"/>
  <c r="L887" i="13" s="1"/>
  <c r="L888" i="13" s="1"/>
  <c r="L889" i="13" s="1"/>
  <c r="L890" i="13" s="1"/>
  <c r="BF472" i="12"/>
  <c r="B472" i="12" s="1"/>
  <c r="BM405" i="12"/>
  <c r="BF270" i="12"/>
  <c r="B270" i="12" s="1"/>
  <c r="BF153" i="12"/>
  <c r="B153" i="12" s="1"/>
  <c r="BO249" i="12"/>
  <c r="BO250" i="12"/>
  <c r="BI250" i="12"/>
  <c r="BM250" i="12"/>
  <c r="BI214" i="12"/>
  <c r="BI221" i="12" s="1"/>
  <c r="BF167" i="12"/>
  <c r="B167" i="12" s="1"/>
  <c r="J1118" i="12"/>
  <c r="K1118" i="12" s="1"/>
  <c r="BF175" i="12"/>
  <c r="B175" i="12" s="1"/>
  <c r="A1102" i="12"/>
  <c r="A1101" i="12" s="1"/>
  <c r="A1100" i="12" s="1"/>
  <c r="A1096" i="12"/>
  <c r="E1096" i="12" s="1"/>
  <c r="BN1123" i="12" l="1"/>
  <c r="BJ1123" i="12"/>
  <c r="BM1123" i="12"/>
  <c r="BI1123" i="12"/>
  <c r="BK1123" i="12"/>
  <c r="BL1123" i="12"/>
  <c r="BH1123" i="12"/>
  <c r="BG1123" i="12"/>
  <c r="I1123" i="12"/>
  <c r="H1123" i="12"/>
  <c r="A1094" i="12"/>
  <c r="E1094" i="12" s="1"/>
  <c r="BE1122" i="12" s="1"/>
  <c r="BP84" i="12"/>
  <c r="G1096" i="12"/>
  <c r="I1096" i="12" s="1"/>
  <c r="BF411" i="12"/>
  <c r="B411" i="12" s="1"/>
  <c r="V1123" i="12"/>
  <c r="W1123" i="12"/>
  <c r="T1123" i="12"/>
  <c r="BF221" i="12"/>
  <c r="B221" i="12" s="1"/>
  <c r="BK214" i="12"/>
  <c r="BF235" i="12"/>
  <c r="B235" i="12" s="1"/>
  <c r="R1123" i="12"/>
  <c r="BF1123" i="12"/>
  <c r="BM325" i="12" s="1"/>
  <c r="Y1123" i="12"/>
  <c r="S1123" i="12"/>
  <c r="M1123" i="12"/>
  <c r="Z1123" i="12"/>
  <c r="P1123" i="12"/>
  <c r="X1123" i="12"/>
  <c r="L1123" i="12"/>
  <c r="U1123" i="12"/>
  <c r="AA1123" i="12"/>
  <c r="BD1123" i="12"/>
  <c r="Q1123" i="12"/>
  <c r="BE1123" i="12"/>
  <c r="BI325" i="12" s="1"/>
  <c r="BC1123" i="12"/>
  <c r="BF231" i="12"/>
  <c r="B231" i="12" s="1"/>
  <c r="BD1122" i="12" l="1"/>
  <c r="BK494" i="12" s="1"/>
  <c r="BH1122" i="12"/>
  <c r="BI1122" i="12"/>
  <c r="BK1122" i="12"/>
  <c r="BM344" i="12" s="1"/>
  <c r="BH1120" i="12"/>
  <c r="BM343" i="12" s="1"/>
  <c r="T1122" i="12"/>
  <c r="BJ337" i="12" s="1"/>
  <c r="BF1122" i="12"/>
  <c r="BM478" i="12" s="1"/>
  <c r="X1122" i="12"/>
  <c r="BI504" i="12" s="1"/>
  <c r="BI1120" i="12"/>
  <c r="BK343" i="12" s="1"/>
  <c r="V1122" i="12"/>
  <c r="BL337" i="12" s="1"/>
  <c r="BL1122" i="12"/>
  <c r="BI362" i="12" s="1"/>
  <c r="Z1122" i="12"/>
  <c r="BK504" i="12" s="1"/>
  <c r="BG1120" i="12"/>
  <c r="BI343" i="12" s="1"/>
  <c r="W1122" i="12"/>
  <c r="BQ337" i="12" s="1"/>
  <c r="BM1122" i="12"/>
  <c r="BK477" i="12" s="1"/>
  <c r="BG1122" i="12"/>
  <c r="BH659" i="12" s="1"/>
  <c r="K659" i="12" s="1"/>
  <c r="BJ1120" i="12"/>
  <c r="U1122" i="12"/>
  <c r="BO337" i="12" s="1"/>
  <c r="BC1122" i="12"/>
  <c r="BI494" i="12" s="1"/>
  <c r="BN1122" i="12"/>
  <c r="BM489" i="12" s="1"/>
  <c r="BJ1122" i="12"/>
  <c r="BH665" i="12" s="1"/>
  <c r="K667" i="12" s="1"/>
  <c r="BN337" i="12"/>
  <c r="BI418" i="12"/>
  <c r="BL84" i="12"/>
  <c r="BH84" i="12" s="1"/>
  <c r="B116" i="12" s="1"/>
  <c r="Y1122" i="12"/>
  <c r="M1122" i="12"/>
  <c r="BM249" i="12" s="1"/>
  <c r="I1122" i="12"/>
  <c r="BM244" i="12" s="1"/>
  <c r="S1122" i="12"/>
  <c r="BK448" i="12" s="1"/>
  <c r="L1122" i="12"/>
  <c r="BK249" i="12" s="1"/>
  <c r="H1122" i="12"/>
  <c r="BK244" i="12" s="1"/>
  <c r="P1122" i="12"/>
  <c r="BI332" i="12" s="1"/>
  <c r="AA1122" i="12"/>
  <c r="R1122" i="12"/>
  <c r="Q1122" i="12"/>
  <c r="BK256" i="12" s="1"/>
  <c r="BM256" i="12" s="1"/>
  <c r="BM504" i="12"/>
  <c r="G1094" i="12"/>
  <c r="I1094" i="12" s="1"/>
  <c r="BO343" i="12"/>
  <c r="BO211" i="12"/>
  <c r="BM207" i="12" s="1"/>
  <c r="BI337" i="12"/>
  <c r="BP85" i="12"/>
  <c r="B1120" i="12"/>
  <c r="BI133" i="12" s="1"/>
  <c r="BF133" i="12" s="1"/>
  <c r="B133" i="12" s="1"/>
  <c r="BO326" i="12"/>
  <c r="BK325" i="12"/>
  <c r="BF337" i="12" l="1"/>
  <c r="BF335" i="12" s="1"/>
  <c r="B337" i="12" s="1"/>
  <c r="BK332" i="12"/>
  <c r="BK418" i="12"/>
  <c r="BF418" i="12" s="1"/>
  <c r="BF416" i="12" s="1"/>
  <c r="B418" i="12" s="1"/>
  <c r="BI505" i="12"/>
  <c r="BI510" i="12"/>
  <c r="BF510" i="12" s="1"/>
  <c r="B510" i="12" s="1"/>
  <c r="BL85" i="12"/>
  <c r="BH85" i="12" s="1"/>
  <c r="H116" i="12" s="1"/>
  <c r="BF578" i="12"/>
  <c r="BF513" i="12"/>
  <c r="BF409" i="12"/>
  <c r="BF470" i="12"/>
  <c r="BI488" i="12"/>
  <c r="BH663" i="12"/>
  <c r="H665" i="12" s="1"/>
  <c r="BM505" i="12"/>
  <c r="BH661" i="12"/>
  <c r="H661" i="12" s="1"/>
  <c r="BO325" i="12"/>
  <c r="BM326" i="12" s="1"/>
  <c r="BK250" i="12"/>
  <c r="BI477" i="12"/>
  <c r="BF244" i="12"/>
  <c r="B244" i="12" s="1"/>
  <c r="BK362" i="12"/>
  <c r="BF362" i="12" s="1"/>
  <c r="BF360" i="12" s="1"/>
  <c r="B362" i="12" s="1"/>
  <c r="BI256" i="12"/>
  <c r="BO256" i="12" s="1"/>
  <c r="BF256" i="12" s="1"/>
  <c r="B256" i="12" s="1"/>
  <c r="BK478" i="12"/>
  <c r="BN207" i="12"/>
  <c r="BI375" i="12"/>
  <c r="BG250" i="12"/>
  <c r="BI398" i="12"/>
  <c r="BM214" i="12"/>
  <c r="BF214" i="12" s="1"/>
  <c r="B214" i="12" s="1"/>
  <c r="BK489" i="12"/>
  <c r="BM398" i="12"/>
  <c r="BM429" i="12"/>
  <c r="BK404" i="12"/>
  <c r="BO332" i="12"/>
  <c r="BI429" i="12"/>
  <c r="BO404" i="12"/>
  <c r="BK505" i="12"/>
  <c r="BF494" i="12"/>
  <c r="BF492" i="12" s="1"/>
  <c r="B494" i="12" s="1"/>
  <c r="BI448" i="12"/>
  <c r="BM488" i="12"/>
  <c r="BK375" i="12"/>
  <c r="BI405" i="12"/>
  <c r="BM477" i="12"/>
  <c r="BO344" i="12"/>
  <c r="BF343" i="12" s="1"/>
  <c r="BF341" i="12" s="1"/>
  <c r="B343" i="12" s="1"/>
  <c r="BP203" i="12"/>
  <c r="BL208" i="12"/>
  <c r="BO207" i="12"/>
  <c r="BI489" i="12"/>
  <c r="BP207" i="12"/>
  <c r="BK405" i="12"/>
  <c r="BK488" i="12"/>
  <c r="BN203" i="12"/>
  <c r="BM203" i="12"/>
  <c r="BK398" i="12"/>
  <c r="BK429" i="12"/>
  <c r="BI447" i="12"/>
  <c r="BK447" i="12"/>
  <c r="BM332" i="12"/>
  <c r="BM404" i="12"/>
  <c r="BF254" i="12" l="1"/>
  <c r="BF398" i="12"/>
  <c r="BF396" i="12" s="1"/>
  <c r="B398" i="12" s="1"/>
  <c r="BF325" i="12"/>
  <c r="BF323" i="12" s="1"/>
  <c r="B325" i="12" s="1"/>
  <c r="BF249" i="12"/>
  <c r="BF247" i="12" s="1"/>
  <c r="B249" i="12" s="1"/>
  <c r="BF375" i="12"/>
  <c r="BF373" i="12" s="1"/>
  <c r="B375" i="12" s="1"/>
  <c r="BF508" i="12"/>
  <c r="BF504" i="12"/>
  <c r="BF502" i="12" s="1"/>
  <c r="B504" i="12" s="1"/>
  <c r="BF477" i="12"/>
  <c r="BF475" i="12" s="1"/>
  <c r="B477" i="12" s="1"/>
  <c r="BF429" i="12"/>
  <c r="BF427" i="12" s="1"/>
  <c r="B429" i="12" s="1"/>
  <c r="BF332" i="12"/>
  <c r="BF330" i="12" s="1"/>
  <c r="B332" i="12" s="1"/>
  <c r="BF488" i="12"/>
  <c r="BF486" i="12" s="1"/>
  <c r="B488" i="12" s="1"/>
  <c r="BF404" i="12"/>
  <c r="BF402" i="12" s="1"/>
  <c r="B404" i="12" s="1"/>
  <c r="BK208" i="12"/>
  <c r="BK207" i="12" s="1"/>
  <c r="BF447" i="12"/>
  <c r="BF445" i="12" s="1"/>
  <c r="B447" i="12" s="1"/>
  <c r="B1233" i="8"/>
  <c r="BL1224" i="8" s="1"/>
  <c r="BB200" i="8"/>
  <c r="B199" i="8" s="1"/>
  <c r="BF207" i="12" l="1"/>
  <c r="B207" i="12" s="1"/>
  <c r="BL1216" i="8"/>
  <c r="BL1220" i="8"/>
  <c r="BB1474" i="8" l="1"/>
  <c r="BB1475" i="8"/>
  <c r="BB1476" i="8"/>
  <c r="BB1477" i="8"/>
  <c r="BB1478" i="8"/>
  <c r="BB1473" i="8"/>
  <c r="BB1295" i="8"/>
  <c r="BB1296" i="8"/>
  <c r="BB1297" i="8"/>
  <c r="BB1294" i="8"/>
  <c r="BB1165" i="8"/>
  <c r="BB1166" i="8"/>
  <c r="BB1167" i="8"/>
  <c r="BB1164" i="8"/>
  <c r="BB1123" i="8"/>
  <c r="BB1124" i="8"/>
  <c r="BB1125" i="8"/>
  <c r="BB1126" i="8"/>
  <c r="BB1127" i="8"/>
  <c r="BB1128" i="8"/>
  <c r="BB1129" i="8"/>
  <c r="BB1130" i="8"/>
  <c r="BB1131" i="8"/>
  <c r="BB1132" i="8"/>
  <c r="BB1133" i="8"/>
  <c r="BB1134" i="8"/>
  <c r="BB1135" i="8"/>
  <c r="BB1122" i="8"/>
  <c r="BB1094" i="8"/>
  <c r="BB1093" i="8"/>
  <c r="BB1092" i="8"/>
  <c r="BB1091" i="8"/>
  <c r="BB1087" i="8"/>
  <c r="BB1088" i="8"/>
  <c r="BB1089" i="8"/>
  <c r="BB1086" i="8"/>
  <c r="BB1080" i="8"/>
  <c r="BB1079" i="8"/>
  <c r="BB1056" i="8"/>
  <c r="BB1055" i="8"/>
  <c r="BS205" i="8"/>
  <c r="BS207" i="8"/>
  <c r="BS209" i="8"/>
  <c r="BS211" i="8"/>
  <c r="BS213" i="8"/>
  <c r="BS215" i="8"/>
  <c r="BS217" i="8"/>
  <c r="BS219" i="8"/>
  <c r="BS221" i="8"/>
  <c r="BS203" i="8"/>
  <c r="BF1182" i="8" l="1"/>
  <c r="BI102" i="8" l="1"/>
  <c r="BQ102" i="8" s="1"/>
  <c r="BI101" i="8"/>
  <c r="BQ101" i="8" s="1"/>
  <c r="BF102" i="8"/>
  <c r="BN102" i="8" s="1"/>
  <c r="BF101" i="8"/>
  <c r="BN101" i="8" s="1"/>
  <c r="B86" i="8" l="1"/>
  <c r="BE1522" i="8"/>
  <c r="BE1521" i="8"/>
  <c r="BE1520" i="8"/>
  <c r="BE1518" i="8"/>
  <c r="BB1524" i="8" l="1"/>
  <c r="BF126" i="8" l="1"/>
  <c r="BE126" i="8"/>
  <c r="BN145" i="8"/>
  <c r="BE123" i="8" s="1"/>
  <c r="BB126" i="8" l="1"/>
  <c r="B126" i="8" s="1"/>
  <c r="BF160" i="8"/>
  <c r="BF161" i="8" s="1"/>
  <c r="BG123" i="8"/>
  <c r="BB123" i="8" s="1"/>
  <c r="B123" i="8" s="1"/>
  <c r="BJ1252" i="8"/>
  <c r="BJ1273" i="8" s="1"/>
  <c r="BJ1248" i="8" l="1"/>
  <c r="BJ1269" i="8" s="1"/>
  <c r="BH1337" i="8"/>
  <c r="BH1431" i="8"/>
  <c r="BJ1244" i="8"/>
  <c r="BJ1265" i="8" s="1"/>
  <c r="BH1244" i="8"/>
  <c r="BJ1256" i="8" s="1"/>
  <c r="BJ1277" i="8" s="1"/>
  <c r="BF1307" i="8"/>
  <c r="BF1421" i="8" s="1"/>
  <c r="BH1256" i="8"/>
  <c r="BH1277" i="8" s="1"/>
  <c r="BB985" i="8"/>
  <c r="B996" i="8" s="1"/>
  <c r="BB983" i="8"/>
  <c r="B989" i="8" s="1"/>
  <c r="BB982" i="8"/>
  <c r="B984" i="8" s="1"/>
  <c r="BB984" i="8"/>
  <c r="B993" i="8" s="1"/>
  <c r="BB981" i="8"/>
  <c r="B981" i="8" s="1"/>
  <c r="BB1185" i="8"/>
  <c r="B1186" i="8" s="1"/>
  <c r="BD1178" i="8"/>
  <c r="BF1180" i="8"/>
  <c r="BE1180" i="8"/>
  <c r="BF1178" i="8"/>
  <c r="BH1178" i="8" s="1"/>
  <c r="BF1173" i="8"/>
  <c r="BD1173" i="8" s="1"/>
  <c r="BD1179" i="8" s="1"/>
  <c r="BE1147" i="8"/>
  <c r="BD1147" i="8"/>
  <c r="BH1252" i="8" l="1"/>
  <c r="BH1273" i="8" s="1"/>
  <c r="BE1273" i="8" s="1"/>
  <c r="BH1265" i="8"/>
  <c r="BF1507" i="8"/>
  <c r="BH1248" i="8"/>
  <c r="BH1260" i="8" s="1"/>
  <c r="BH1281" i="8" s="1"/>
  <c r="BF1310" i="8"/>
  <c r="BC1310" i="8" s="1"/>
  <c r="BF1308" i="8"/>
  <c r="BC1308" i="8" s="1"/>
  <c r="BF1174" i="8"/>
  <c r="BD1180" i="8"/>
  <c r="BB1180" i="8" s="1"/>
  <c r="B1178" i="8" s="1"/>
  <c r="BI1104" i="8"/>
  <c r="BG1104" i="8"/>
  <c r="BE1104" i="8"/>
  <c r="BB1105" i="8"/>
  <c r="BC1104" i="8"/>
  <c r="BE1077" i="8"/>
  <c r="BG1147" i="8" s="1"/>
  <c r="BH1269" i="8" l="1"/>
  <c r="BD1174" i="8"/>
  <c r="BF1175" i="8"/>
  <c r="BI1147" i="8"/>
  <c r="BB1147" i="8" s="1"/>
  <c r="BB1104" i="8"/>
  <c r="B1106" i="8" s="1"/>
  <c r="BB1077" i="8"/>
  <c r="H1077" i="8" s="1"/>
  <c r="BE1500" i="8"/>
  <c r="BE1499" i="8"/>
  <c r="BE1498" i="8"/>
  <c r="BG1497" i="8"/>
  <c r="BH1497" i="8" s="1"/>
  <c r="BI1497" i="8" s="1"/>
  <c r="BJ1497" i="8" s="1"/>
  <c r="BK1497" i="8" s="1"/>
  <c r="BG1411" i="8"/>
  <c r="BH1411" i="8" s="1"/>
  <c r="BI1411" i="8" s="1"/>
  <c r="BJ1411" i="8" s="1"/>
  <c r="BK1411" i="8" s="1"/>
  <c r="BE1414" i="8"/>
  <c r="BE1413" i="8"/>
  <c r="BE1412" i="8"/>
  <c r="BG1315" i="8"/>
  <c r="BH1315" i="8" s="1"/>
  <c r="BI1315" i="8" s="1"/>
  <c r="BJ1315" i="8" s="1"/>
  <c r="BK1315" i="8" s="1"/>
  <c r="BE1319" i="8"/>
  <c r="BE1318" i="8"/>
  <c r="BE1317" i="8"/>
  <c r="BF1176" i="8" l="1"/>
  <c r="BD1175" i="8"/>
  <c r="BB1148" i="8"/>
  <c r="B1144" i="8" s="1"/>
  <c r="BH1326" i="8"/>
  <c r="BE1501" i="8"/>
  <c r="BE1415" i="8"/>
  <c r="BE1320" i="8"/>
  <c r="BF1177" i="8" l="1"/>
  <c r="BD1177" i="8" s="1"/>
  <c r="BD1176" i="8"/>
  <c r="BF1324" i="8"/>
  <c r="BC1324" i="8" s="1"/>
  <c r="BH1419" i="8"/>
  <c r="BF1326" i="8"/>
  <c r="BC1326" i="8" s="1"/>
  <c r="BH1421" i="8"/>
  <c r="BC1421" i="8" s="1"/>
  <c r="BH1507" i="8"/>
  <c r="BF1325" i="8"/>
  <c r="BF1402" i="8"/>
  <c r="BF1403" i="8" s="1"/>
  <c r="BC1403" i="8" s="1"/>
  <c r="BI1418" i="8"/>
  <c r="BI1323" i="8"/>
  <c r="BF1419" i="8"/>
  <c r="BF1505" i="8"/>
  <c r="BC1505" i="8" s="1"/>
  <c r="BH1325" i="8"/>
  <c r="BF1420" i="8"/>
  <c r="BC1420" i="8" s="1"/>
  <c r="BI1504" i="8"/>
  <c r="BF1506" i="8"/>
  <c r="BC1506" i="8" s="1"/>
  <c r="BE1502" i="8"/>
  <c r="BF1504" i="8" s="1"/>
  <c r="BE1416" i="8"/>
  <c r="BF1418" i="8" s="1"/>
  <c r="BF1309" i="8"/>
  <c r="BC1309" i="8" s="1"/>
  <c r="B1317" i="8"/>
  <c r="BE1321" i="8"/>
  <c r="BF1323" i="8" s="1"/>
  <c r="BC1419" i="8" l="1"/>
  <c r="BC1507" i="8"/>
  <c r="BC1418" i="8"/>
  <c r="BC1504" i="8"/>
  <c r="BC1508" i="8" s="1"/>
  <c r="BC1325" i="8"/>
  <c r="BF1490" i="8"/>
  <c r="BF1491" i="8" s="1"/>
  <c r="BF1404" i="8"/>
  <c r="B1411" i="8"/>
  <c r="BC1323" i="8"/>
  <c r="B1319" i="8"/>
  <c r="BF1405" i="8" l="1"/>
  <c r="BC1404" i="8"/>
  <c r="B1413" i="8" s="1"/>
  <c r="BF1492" i="8"/>
  <c r="BC1492" i="8" s="1"/>
  <c r="B1504" i="8" s="1"/>
  <c r="BC1491" i="8"/>
  <c r="B1502" i="8" s="1"/>
  <c r="BC1509" i="8"/>
  <c r="B1509" i="8" s="1"/>
  <c r="BC1422" i="8"/>
  <c r="BC1423" i="8" s="1"/>
  <c r="B1418" i="8" s="1"/>
  <c r="BC1327" i="8"/>
  <c r="BC1329" i="8" s="1"/>
  <c r="B1324" i="8" s="1"/>
  <c r="B1321" i="8"/>
  <c r="BF1493" i="8" l="1"/>
  <c r="BC1493" i="8" s="1"/>
  <c r="B1506" i="8" s="1"/>
  <c r="BC1405" i="8"/>
  <c r="B1415" i="8" s="1"/>
  <c r="BE610" i="8"/>
  <c r="B615" i="8" s="1"/>
  <c r="BE605" i="8"/>
  <c r="BE607" i="8"/>
  <c r="BE606" i="8"/>
  <c r="BB1139" i="8" l="1"/>
  <c r="BB1138" i="8"/>
  <c r="BB1137" i="8"/>
  <c r="BB1070" i="8"/>
  <c r="BB1069" i="8"/>
  <c r="BB1066" i="8"/>
  <c r="BB1065" i="8"/>
  <c r="BB1060" i="8"/>
  <c r="BB1059" i="8"/>
  <c r="B1059" i="8" s="1"/>
  <c r="BB180" i="8"/>
  <c r="BB179" i="8"/>
  <c r="BB178" i="8"/>
  <c r="BB177" i="8"/>
  <c r="BB176" i="8"/>
  <c r="BB175" i="8"/>
  <c r="BB173" i="8"/>
  <c r="BB172" i="8"/>
  <c r="BB170" i="8"/>
  <c r="BB169" i="8"/>
  <c r="BB168" i="8"/>
  <c r="BB167" i="8"/>
  <c r="BB161" i="8"/>
  <c r="BH160" i="8"/>
  <c r="BB157" i="8"/>
  <c r="BB156" i="8"/>
  <c r="BB155" i="8"/>
  <c r="BB154" i="8"/>
  <c r="BB153" i="8"/>
  <c r="BB152" i="8"/>
  <c r="BL151" i="8"/>
  <c r="BK151" i="8"/>
  <c r="BJ151" i="8"/>
  <c r="BI151" i="8"/>
  <c r="BH151" i="8"/>
  <c r="BG151" i="8"/>
  <c r="BF151" i="8"/>
  <c r="BE151" i="8"/>
  <c r="BB151" i="8" s="1"/>
  <c r="BB150" i="8"/>
  <c r="H132" i="8" s="1"/>
  <c r="BB149" i="8"/>
  <c r="BB148" i="8"/>
  <c r="BB147" i="8"/>
  <c r="BB146" i="8"/>
  <c r="BL145" i="8"/>
  <c r="BK145" i="8"/>
  <c r="BJ145" i="8"/>
  <c r="BI145" i="8"/>
  <c r="BH145" i="8"/>
  <c r="BG145" i="8"/>
  <c r="BF145" i="8"/>
  <c r="BE145" i="8"/>
  <c r="BL102" i="8" l="1"/>
  <c r="BL101" i="8"/>
  <c r="BJ160" i="8"/>
  <c r="BL160" i="8" s="1"/>
  <c r="BH1182" i="8" l="1"/>
  <c r="BD1182" i="8" s="1"/>
  <c r="BB1182" i="8" s="1"/>
  <c r="B1182" i="8" s="1"/>
  <c r="BB160" i="8"/>
  <c r="E1171" i="8" l="1"/>
  <c r="B1170" i="8"/>
  <c r="K1163" i="8" s="1"/>
  <c r="B1055" i="8"/>
  <c r="B1137" i="8"/>
  <c r="L1130" i="8"/>
  <c r="F1130" i="8"/>
  <c r="H1128" i="8"/>
  <c r="B1128" i="8"/>
  <c r="H1096" i="8"/>
  <c r="B1091" i="8"/>
  <c r="H1079" i="8"/>
  <c r="B1069" i="8"/>
  <c r="H1065" i="8"/>
  <c r="C1497" i="8"/>
  <c r="C1494" i="8"/>
  <c r="C1491" i="8"/>
  <c r="C1487" i="8"/>
  <c r="C1484" i="8"/>
  <c r="C1481" i="8"/>
  <c r="BM1468" i="8"/>
  <c r="BM1464" i="8"/>
  <c r="BM1460" i="8"/>
  <c r="BM1456" i="8"/>
  <c r="BM1452" i="8"/>
  <c r="BM1447" i="8"/>
  <c r="BM1443" i="8"/>
  <c r="BM1439" i="8"/>
  <c r="BM1435" i="8"/>
  <c r="BM1431" i="8"/>
  <c r="BH1452" i="8"/>
  <c r="BH1392" i="8"/>
  <c r="BG1392" i="8"/>
  <c r="BF1392" i="8"/>
  <c r="BE1392" i="8"/>
  <c r="BB1392" i="8" s="1"/>
  <c r="BH1391" i="8"/>
  <c r="BG1391" i="8"/>
  <c r="BF1391" i="8"/>
  <c r="BE1391" i="8"/>
  <c r="BB1391" i="8" s="1"/>
  <c r="BH1390" i="8"/>
  <c r="BG1390" i="8"/>
  <c r="BF1390" i="8"/>
  <c r="BE1390" i="8"/>
  <c r="BB1390" i="8" s="1"/>
  <c r="BH1389" i="8"/>
  <c r="BG1389" i="8"/>
  <c r="BF1389" i="8"/>
  <c r="BE1389" i="8"/>
  <c r="BB1389" i="8" s="1"/>
  <c r="BM1374" i="8"/>
  <c r="BM1370" i="8"/>
  <c r="BM1366" i="8"/>
  <c r="BM1362" i="8"/>
  <c r="BM1358" i="8"/>
  <c r="BM1353" i="8"/>
  <c r="BM1349" i="8"/>
  <c r="BM1345" i="8"/>
  <c r="BM1341" i="8"/>
  <c r="BM1337" i="8"/>
  <c r="BH1358" i="8"/>
  <c r="I1307" i="8"/>
  <c r="I1294" i="8"/>
  <c r="B1307" i="8"/>
  <c r="B1294" i="8"/>
  <c r="BE1225" i="8"/>
  <c r="J1222" i="8" s="1"/>
  <c r="BJ1224" i="8"/>
  <c r="BE1221" i="8"/>
  <c r="F1222" i="8" s="1"/>
  <c r="BJ1220" i="8"/>
  <c r="BE1217" i="8"/>
  <c r="B1222" i="8" s="1"/>
  <c r="BJ1216" i="8"/>
  <c r="BH1216" i="8" s="1"/>
  <c r="BT829" i="8"/>
  <c r="BT826" i="8"/>
  <c r="BD770" i="8"/>
  <c r="BB770" i="8"/>
  <c r="BD769" i="8"/>
  <c r="BB769" i="8"/>
  <c r="BD768" i="8"/>
  <c r="BB768" i="8"/>
  <c r="BD767" i="8"/>
  <c r="BB767" i="8"/>
  <c r="BD766" i="8"/>
  <c r="BB766" i="8"/>
  <c r="BD765" i="8"/>
  <c r="BB765" i="8"/>
  <c r="BD764" i="8"/>
  <c r="BB764" i="8"/>
  <c r="BD763" i="8"/>
  <c r="BB763" i="8"/>
  <c r="BD762" i="8"/>
  <c r="BB762" i="8"/>
  <c r="BD761" i="8"/>
  <c r="BB761" i="8"/>
  <c r="BD760" i="8"/>
  <c r="BB760" i="8"/>
  <c r="BL1171" i="8"/>
  <c r="BK1171" i="8"/>
  <c r="BJ1171" i="8"/>
  <c r="BI1171" i="8"/>
  <c r="BH1171" i="8"/>
  <c r="BG1171" i="8"/>
  <c r="BF1171" i="8"/>
  <c r="BE1171" i="8"/>
  <c r="BB1171" i="8" s="1"/>
  <c r="BL1170" i="8"/>
  <c r="BK1170" i="8"/>
  <c r="BJ1170" i="8"/>
  <c r="BI1170" i="8"/>
  <c r="BH1170" i="8"/>
  <c r="BG1170" i="8"/>
  <c r="BF1170" i="8"/>
  <c r="BE1170" i="8"/>
  <c r="BB1170" i="8" s="1"/>
  <c r="BL1169" i="8"/>
  <c r="BK1169" i="8"/>
  <c r="BJ1169" i="8"/>
  <c r="BI1169" i="8"/>
  <c r="BH1169" i="8"/>
  <c r="BG1169" i="8"/>
  <c r="BF1169" i="8"/>
  <c r="BE1169" i="8"/>
  <c r="BB1169" i="8" s="1"/>
  <c r="BL1168" i="8"/>
  <c r="BK1168" i="8"/>
  <c r="BJ1168" i="8"/>
  <c r="BI1168" i="8"/>
  <c r="BH1168" i="8"/>
  <c r="BG1168" i="8"/>
  <c r="BF1168" i="8"/>
  <c r="BE1168" i="8"/>
  <c r="BB1168" i="8" s="1"/>
  <c r="E1163" i="8"/>
  <c r="H1170" i="8" s="1"/>
  <c r="B1164" i="8"/>
  <c r="K1171" i="8" s="1"/>
  <c r="J1137" i="8"/>
  <c r="F1137" i="8"/>
  <c r="J1130" i="8"/>
  <c r="H1130" i="8"/>
  <c r="D1130" i="8"/>
  <c r="B1130" i="8"/>
  <c r="L1128" i="8"/>
  <c r="J1128" i="8"/>
  <c r="F1128" i="8"/>
  <c r="D1128" i="8"/>
  <c r="H1091" i="8"/>
  <c r="B1096" i="8"/>
  <c r="M1090" i="8"/>
  <c r="K1086" i="8"/>
  <c r="H1087" i="8"/>
  <c r="E1087" i="8"/>
  <c r="B1086" i="8"/>
  <c r="M1085" i="8"/>
  <c r="B1079" i="8"/>
  <c r="M1078" i="8"/>
  <c r="H1069" i="8"/>
  <c r="BX1068" i="8"/>
  <c r="M1068" i="8"/>
  <c r="B1065" i="8"/>
  <c r="BX1064" i="8"/>
  <c r="M1064" i="8"/>
  <c r="H1059" i="8"/>
  <c r="BL1058" i="8"/>
  <c r="BL1064" i="8" s="1"/>
  <c r="BL1068" i="8" s="1"/>
  <c r="BL1078" i="8" s="1"/>
  <c r="BL1085" i="8" s="1"/>
  <c r="BL1090" i="8" s="1"/>
  <c r="BL1120" i="8" s="1"/>
  <c r="BL1163" i="8" s="1"/>
  <c r="BL1293" i="8" s="1"/>
  <c r="BL1388" i="8" s="1"/>
  <c r="BL1472" i="8" s="1"/>
  <c r="BK1058" i="8"/>
  <c r="BK1064" i="8" s="1"/>
  <c r="BK1068" i="8" s="1"/>
  <c r="BK1078" i="8" s="1"/>
  <c r="BK1085" i="8" s="1"/>
  <c r="BK1090" i="8" s="1"/>
  <c r="BK1120" i="8" s="1"/>
  <c r="BK1163" i="8" s="1"/>
  <c r="BK1293" i="8" s="1"/>
  <c r="BK1388" i="8" s="1"/>
  <c r="BK1472" i="8" s="1"/>
  <c r="BJ1058" i="8"/>
  <c r="BJ1064" i="8" s="1"/>
  <c r="BJ1068" i="8" s="1"/>
  <c r="BJ1078" i="8" s="1"/>
  <c r="BJ1085" i="8" s="1"/>
  <c r="BJ1090" i="8" s="1"/>
  <c r="BJ1120" i="8" s="1"/>
  <c r="BJ1163" i="8" s="1"/>
  <c r="BJ1293" i="8" s="1"/>
  <c r="BJ1388" i="8" s="1"/>
  <c r="BJ1472" i="8" s="1"/>
  <c r="BI1058" i="8"/>
  <c r="BI1064" i="8" s="1"/>
  <c r="BI1068" i="8" s="1"/>
  <c r="BI1078" i="8" s="1"/>
  <c r="BI1085" i="8" s="1"/>
  <c r="BI1090" i="8" s="1"/>
  <c r="BI1120" i="8" s="1"/>
  <c r="BI1163" i="8" s="1"/>
  <c r="BI1293" i="8" s="1"/>
  <c r="BI1388" i="8" s="1"/>
  <c r="BI1472" i="8" s="1"/>
  <c r="BH1058" i="8"/>
  <c r="BH1064" i="8" s="1"/>
  <c r="BH1068" i="8" s="1"/>
  <c r="BH1078" i="8" s="1"/>
  <c r="BH1085" i="8" s="1"/>
  <c r="BH1090" i="8" s="1"/>
  <c r="BH1120" i="8" s="1"/>
  <c r="BH1163" i="8" s="1"/>
  <c r="BH1293" i="8" s="1"/>
  <c r="BH1388" i="8" s="1"/>
  <c r="BH1472" i="8" s="1"/>
  <c r="BG1058" i="8"/>
  <c r="BG1064" i="8" s="1"/>
  <c r="BG1068" i="8" s="1"/>
  <c r="BG1078" i="8" s="1"/>
  <c r="BG1085" i="8" s="1"/>
  <c r="BG1090" i="8" s="1"/>
  <c r="BG1120" i="8" s="1"/>
  <c r="BG1163" i="8" s="1"/>
  <c r="BG1293" i="8" s="1"/>
  <c r="BG1388" i="8" s="1"/>
  <c r="BG1472" i="8" s="1"/>
  <c r="BF1058" i="8"/>
  <c r="BF1064" i="8" s="1"/>
  <c r="BF1068" i="8" s="1"/>
  <c r="BF1078" i="8" s="1"/>
  <c r="BF1085" i="8" s="1"/>
  <c r="BF1090" i="8" s="1"/>
  <c r="BF1120" i="8" s="1"/>
  <c r="BF1163" i="8" s="1"/>
  <c r="BF1293" i="8" s="1"/>
  <c r="BF1388" i="8" s="1"/>
  <c r="BF1472" i="8" s="1"/>
  <c r="BE1058" i="8"/>
  <c r="BE1064" i="8" s="1"/>
  <c r="BE1068" i="8" s="1"/>
  <c r="BE1078" i="8" s="1"/>
  <c r="BE1085" i="8" s="1"/>
  <c r="BE1090" i="8" s="1"/>
  <c r="BE1120" i="8" s="1"/>
  <c r="BE1163" i="8" s="1"/>
  <c r="BE1293" i="8" s="1"/>
  <c r="BE1388" i="8" s="1"/>
  <c r="BE1472" i="8" s="1"/>
  <c r="M1058" i="8"/>
  <c r="CA1057" i="8"/>
  <c r="BX1057" i="8"/>
  <c r="CA1056" i="8"/>
  <c r="BX1056" i="8"/>
  <c r="H1055" i="8"/>
  <c r="H1164" i="8" l="1"/>
  <c r="B1388" i="8"/>
  <c r="B1401" i="8"/>
  <c r="I1388" i="8"/>
  <c r="I1401" i="8"/>
  <c r="BE1244" i="8"/>
  <c r="I1244" i="8" s="1"/>
  <c r="BJ1337" i="8"/>
  <c r="BE1337" i="8" s="1"/>
  <c r="I1337" i="8" s="1"/>
  <c r="BE1265" i="8"/>
  <c r="I1265" i="8" s="1"/>
  <c r="BH1341" i="8"/>
  <c r="BH1345" i="8" s="1"/>
  <c r="BV1056" i="8"/>
  <c r="BW1061" i="8" s="1"/>
  <c r="BV1057" i="8"/>
  <c r="BW1062" i="8" s="1"/>
  <c r="BH1435" i="8"/>
  <c r="BJ1435" i="8" s="1"/>
  <c r="BE1435" i="8" s="1"/>
  <c r="I1435" i="8" s="1"/>
  <c r="BJ1431" i="8"/>
  <c r="BE1431" i="8" s="1"/>
  <c r="I1431" i="8" s="1"/>
  <c r="BD772" i="8"/>
  <c r="BB772" i="8"/>
  <c r="BH1220" i="8"/>
  <c r="BE1216" i="8"/>
  <c r="B1216" i="8" s="1"/>
  <c r="BH1362" i="8"/>
  <c r="BH1456" i="8"/>
  <c r="BJ1452" i="8"/>
  <c r="BE1452" i="8" s="1"/>
  <c r="I1452" i="8" s="1"/>
  <c r="BJ1358" i="8"/>
  <c r="BE1358" i="8" s="1"/>
  <c r="I1358" i="8" s="1"/>
  <c r="M268" i="8"/>
  <c r="B268" i="8"/>
  <c r="BF109" i="8"/>
  <c r="BF113" i="8"/>
  <c r="BU264" i="8"/>
  <c r="BU261" i="8"/>
  <c r="BU258" i="8"/>
  <c r="BU255" i="8"/>
  <c r="BU252" i="8"/>
  <c r="BU249" i="8"/>
  <c r="BU246" i="8"/>
  <c r="BU243" i="8"/>
  <c r="BX270" i="8"/>
  <c r="BY270" i="8"/>
  <c r="BZ270" i="8"/>
  <c r="BW270" i="8"/>
  <c r="N66" i="8"/>
  <c r="A66" i="8"/>
  <c r="BB660" i="8"/>
  <c r="BB659" i="8"/>
  <c r="BB658" i="8"/>
  <c r="BB657" i="8"/>
  <c r="BB214" i="8"/>
  <c r="BB213" i="8"/>
  <c r="BB212" i="8"/>
  <c r="BB211" i="8"/>
  <c r="BT273" i="8"/>
  <c r="BT276" i="8"/>
  <c r="BQ205" i="8"/>
  <c r="BQ207" i="8"/>
  <c r="BQ209" i="8"/>
  <c r="BQ211" i="8"/>
  <c r="BQ213" i="8"/>
  <c r="BQ215" i="8"/>
  <c r="BQ217" i="8"/>
  <c r="BQ219" i="8"/>
  <c r="BQ221" i="8"/>
  <c r="BQ203" i="8"/>
  <c r="BT205" i="8"/>
  <c r="BT207" i="8"/>
  <c r="BT209" i="8"/>
  <c r="BT211" i="8"/>
  <c r="BT213" i="8"/>
  <c r="BT215" i="8"/>
  <c r="BT217" i="8"/>
  <c r="BT219" i="8"/>
  <c r="BT221" i="8"/>
  <c r="BT203" i="8"/>
  <c r="BB775" i="8" l="1"/>
  <c r="B772" i="8" s="1"/>
  <c r="BE1269" i="8"/>
  <c r="I1269" i="8" s="1"/>
  <c r="BH1439" i="8"/>
  <c r="BH1443" i="8" s="1"/>
  <c r="BJ1341" i="8"/>
  <c r="BE1341" i="8" s="1"/>
  <c r="I1341" i="8" s="1"/>
  <c r="BE106" i="8"/>
  <c r="BB182" i="8" s="1"/>
  <c r="B180" i="8" s="1"/>
  <c r="BE107" i="8"/>
  <c r="E753" i="8"/>
  <c r="E749" i="8"/>
  <c r="B756" i="8"/>
  <c r="B752" i="8"/>
  <c r="B748" i="8"/>
  <c r="E756" i="8"/>
  <c r="E752" i="8"/>
  <c r="E748" i="8"/>
  <c r="B755" i="8"/>
  <c r="B751" i="8"/>
  <c r="B747" i="8"/>
  <c r="E754" i="8"/>
  <c r="B749" i="8"/>
  <c r="E755" i="8"/>
  <c r="E751" i="8"/>
  <c r="E747" i="8"/>
  <c r="B754" i="8"/>
  <c r="B750" i="8"/>
  <c r="E750" i="8"/>
  <c r="B753" i="8"/>
  <c r="L753" i="8"/>
  <c r="L752" i="8"/>
  <c r="L755" i="8"/>
  <c r="L751" i="8"/>
  <c r="I755" i="8"/>
  <c r="I751" i="8"/>
  <c r="L747" i="8"/>
  <c r="L754" i="8"/>
  <c r="L750" i="8"/>
  <c r="I754" i="8"/>
  <c r="I750" i="8"/>
  <c r="I756" i="8"/>
  <c r="L749" i="8"/>
  <c r="I753" i="8"/>
  <c r="I749" i="8"/>
  <c r="I748" i="8"/>
  <c r="L756" i="8"/>
  <c r="I752" i="8"/>
  <c r="L748" i="8"/>
  <c r="I747" i="8"/>
  <c r="BH1460" i="8"/>
  <c r="BJ1456" i="8"/>
  <c r="BE1248" i="8"/>
  <c r="I1248" i="8" s="1"/>
  <c r="BH1366" i="8"/>
  <c r="BJ1362" i="8"/>
  <c r="BE1362" i="8" s="1"/>
  <c r="I1362" i="8" s="1"/>
  <c r="BH1349" i="8"/>
  <c r="BJ1345" i="8"/>
  <c r="BE1345" i="8" s="1"/>
  <c r="I1345" i="8" s="1"/>
  <c r="BH1224" i="8"/>
  <c r="BE1224" i="8" s="1"/>
  <c r="J1216" i="8" s="1"/>
  <c r="BE1220" i="8"/>
  <c r="F1216" i="8" s="1"/>
  <c r="BU268" i="8"/>
  <c r="BQ224" i="8"/>
  <c r="BX227" i="8"/>
  <c r="BW227" i="8"/>
  <c r="BS224" i="8"/>
  <c r="BJ620" i="8" l="1"/>
  <c r="BL620" i="8"/>
  <c r="BE1456" i="8"/>
  <c r="I1456" i="8" s="1"/>
  <c r="BJ1439" i="8"/>
  <c r="BE1439" i="8" s="1"/>
  <c r="I1439" i="8" s="1"/>
  <c r="BH1353" i="8"/>
  <c r="BE1353" i="8" s="1"/>
  <c r="I1353" i="8" s="1"/>
  <c r="BJ1349" i="8"/>
  <c r="BE1349" i="8" s="1"/>
  <c r="I1349" i="8" s="1"/>
  <c r="BH1464" i="8"/>
  <c r="BJ1460" i="8"/>
  <c r="BE1460" i="8" s="1"/>
  <c r="I1460" i="8" s="1"/>
  <c r="BH1370" i="8"/>
  <c r="BJ1366" i="8"/>
  <c r="BE1366" i="8" s="1"/>
  <c r="I1366" i="8" s="1"/>
  <c r="BH1447" i="8"/>
  <c r="BE1447" i="8" s="1"/>
  <c r="I1447" i="8" s="1"/>
  <c r="BJ1443" i="8"/>
  <c r="BE1443" i="8" s="1"/>
  <c r="I1443" i="8" s="1"/>
  <c r="BE1252" i="8"/>
  <c r="I1252" i="8" s="1"/>
  <c r="BX266" i="8"/>
  <c r="BT266" i="8" s="1"/>
  <c r="C268" i="8" s="1"/>
  <c r="BY227" i="8"/>
  <c r="BF76" i="8"/>
  <c r="BF75" i="8"/>
  <c r="I1273" i="8" l="1"/>
  <c r="BF67" i="8"/>
  <c r="B66" i="8" s="1"/>
  <c r="BF70" i="8"/>
  <c r="B68" i="8" s="1"/>
  <c r="BF72" i="8"/>
  <c r="B80" i="8" s="1"/>
  <c r="BF71" i="8"/>
  <c r="B74" i="8" s="1"/>
  <c r="BH620" i="8"/>
  <c r="BE612" i="8" s="1"/>
  <c r="B619" i="8" s="1"/>
  <c r="BH1374" i="8"/>
  <c r="BE1374" i="8" s="1"/>
  <c r="I1374" i="8" s="1"/>
  <c r="BJ1370" i="8"/>
  <c r="BE1370" i="8" s="1"/>
  <c r="I1370" i="8" s="1"/>
  <c r="BE1281" i="8"/>
  <c r="I1282" i="8" s="1"/>
  <c r="BH1468" i="8"/>
  <c r="BE1468" i="8" s="1"/>
  <c r="I1468" i="8" s="1"/>
  <c r="BJ1464" i="8"/>
  <c r="BE1464" i="8" s="1"/>
  <c r="I1464" i="8" s="1"/>
  <c r="BE1256" i="8"/>
  <c r="I1256" i="8" s="1"/>
  <c r="BE1260" i="8"/>
  <c r="I1260" i="8" s="1"/>
  <c r="BD102" i="8"/>
  <c r="B164" i="8"/>
  <c r="CA227" i="8"/>
  <c r="BT224" i="8" s="1"/>
  <c r="BZ227" i="8"/>
  <c r="BD101" i="8"/>
  <c r="K144" i="8"/>
  <c r="H144" i="8"/>
  <c r="K140" i="8"/>
  <c r="H140" i="8"/>
  <c r="K136" i="8"/>
  <c r="H136" i="8"/>
  <c r="B145" i="8"/>
  <c r="B141" i="8"/>
  <c r="B137" i="8"/>
  <c r="B133" i="8"/>
  <c r="BE656" i="8"/>
  <c r="BB215" i="8"/>
  <c r="BB216" i="8"/>
  <c r="BB217" i="8"/>
  <c r="BB218" i="8"/>
  <c r="BL656" i="8"/>
  <c r="BG656" i="8"/>
  <c r="BH656" i="8"/>
  <c r="BI656" i="8"/>
  <c r="BJ656" i="8"/>
  <c r="BK656" i="8"/>
  <c r="BF656" i="8"/>
  <c r="BE1277" i="8" l="1"/>
  <c r="I1277" i="8" s="1"/>
  <c r="BT225" i="8"/>
  <c r="K132" i="8"/>
  <c r="BW260" i="8"/>
  <c r="BW248" i="8"/>
  <c r="BW257" i="8"/>
  <c r="BW245" i="8"/>
  <c r="BW242" i="8"/>
  <c r="BW263" i="8"/>
  <c r="BW254" i="8"/>
  <c r="BW251" i="8"/>
  <c r="BY263" i="8"/>
  <c r="BY251" i="8"/>
  <c r="BY260" i="8"/>
  <c r="BY248" i="8"/>
  <c r="BY257" i="8"/>
  <c r="BY245" i="8"/>
  <c r="BY254" i="8"/>
  <c r="B160" i="8"/>
  <c r="BY242" i="8"/>
  <c r="BX228" i="8"/>
  <c r="BT251" i="8" l="1"/>
  <c r="B254" i="8" s="1"/>
  <c r="BT245" i="8"/>
  <c r="B248" i="8" s="1"/>
  <c r="BT257" i="8"/>
  <c r="B260" i="8" s="1"/>
  <c r="BT254" i="8"/>
  <c r="B257" i="8" s="1"/>
  <c r="BT263" i="8"/>
  <c r="B266" i="8" s="1"/>
  <c r="BT248" i="8"/>
  <c r="B251" i="8" s="1"/>
  <c r="BT242" i="8"/>
  <c r="B245" i="8" s="1"/>
  <c r="BT260" i="8"/>
  <c r="B263" i="8" s="1"/>
  <c r="BZ228" i="8"/>
  <c r="BT228" i="8" s="1"/>
  <c r="C223" i="8" s="1"/>
  <c r="BX229" i="8"/>
  <c r="BT229" i="8" s="1"/>
  <c r="B228" i="8"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M1543" authorId="0" shapeId="0" xr:uid="{155A5AB2-9B5A-41E7-8AE4-CA6576FDA0BB}">
      <text>
        <r>
          <rPr>
            <b/>
            <sz val="12"/>
            <color indexed="81"/>
            <rFont val="Tahoma"/>
            <family val="2"/>
          </rPr>
          <t>How to save your personalized version of this to a PDF</t>
        </r>
        <r>
          <rPr>
            <sz val="9"/>
            <color indexed="81"/>
            <rFont val="Tahoma"/>
            <family val="2"/>
          </rPr>
          <t xml:space="preserve">
</t>
        </r>
        <r>
          <rPr>
            <sz val="11"/>
            <color indexed="81"/>
            <rFont val="Tahoma"/>
            <family val="2"/>
          </rPr>
          <t xml:space="preserve">1. Click the File menu (upper left).
2. Click Save As (in the list of options).
3. Click Browse to choose a location to keep your saved PDF.
4. Click on the file name highlighted in blue to change the name of this personalized version.
5. Click on Excel Workbook below the file name, then select PDF from the dropdown list.
6. Click on the Save button (lower right, to the left of the Cancel button).
That's all there is to it. Now you have a saved copy of how you answered the Interactives. Now you can change the Interactives again, and save those to another file name. </t>
        </r>
        <r>
          <rPr>
            <sz val="9"/>
            <color indexed="81"/>
            <rFont val="Tahoma"/>
            <family val="2"/>
          </rPr>
          <t xml:space="preserve">
</t>
        </r>
        <r>
          <rPr>
            <sz val="9"/>
            <color indexed="20"/>
            <rFont val="Tahoma"/>
            <family val="2"/>
          </rPr>
          <t>[NOTE: these instructions sit outside the print area, so will not be included.]</t>
        </r>
        <r>
          <rPr>
            <sz val="9"/>
            <color indexed="81"/>
            <rFont val="Tahoma"/>
            <family val="2"/>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N90" authorId="0" shapeId="0" xr:uid="{E6E4F092-FC8D-4730-9526-4AF610D40AE8}">
      <text>
        <r>
          <rPr>
            <sz val="9"/>
            <color indexed="81"/>
            <rFont val="Tahoma"/>
            <family val="2"/>
          </rPr>
          <t xml:space="preserve">
</t>
        </r>
      </text>
    </comment>
    <comment ref="AB127" authorId="0" shapeId="0" xr:uid="{EA436527-07BF-4F4D-B7E6-A1C94137F4C3}">
      <text>
        <r>
          <rPr>
            <sz val="9"/>
            <color indexed="81"/>
            <rFont val="Tahoma"/>
            <family val="2"/>
          </rPr>
          <t xml:space="preserve">
</t>
        </r>
      </text>
    </comment>
    <comment ref="A157" authorId="0" shapeId="0" xr:uid="{CF9F4A3F-1ACD-467F-992B-000BE6362D15}">
      <text>
        <r>
          <rPr>
            <b/>
            <sz val="9"/>
            <color indexed="81"/>
            <rFont val="Tahoma"/>
            <family val="2"/>
          </rPr>
          <t xml:space="preserve">NOTE: </t>
        </r>
        <r>
          <rPr>
            <sz val="9"/>
            <color indexed="81"/>
            <rFont val="Tahoma"/>
            <family val="2"/>
          </rPr>
          <t xml:space="preserve">
Sprangler et al. observed that “In managing any countertransference, gaining awareness is the first step, specifically by recognizing our political hot button topics and the triggers for them.” Ethical dilemmas may arise when a patient’s political or religious views are so deeply offensive to the clinician’s own that the therapeutic alliance becomes almost impossible to sustain. Sprangler et al. opined that “while we may not impose our own views, we must not condone others’ prejudicial activities. The dilemma arises when a client presents a bigoted view that is integral to the client’s political identity.”
</t>
        </r>
      </text>
    </comment>
    <comment ref="AB164" authorId="0" shapeId="0" xr:uid="{F6320BE5-FC04-4EEC-92FF-F080DFDAEF17}">
      <text/>
    </comment>
    <comment ref="AB204" authorId="0" shapeId="0" xr:uid="{27327B76-1FF3-4D19-A990-5B691FCA9952}">
      <text/>
    </comment>
    <comment ref="N642" authorId="0" shapeId="0" xr:uid="{9EC2F3EA-2105-4771-AEFA-1750661043C4}">
      <text/>
    </comment>
    <comment ref="AB677" authorId="0" shapeId="0" xr:uid="{2F5399FB-F367-439C-9004-206FC57DDFFC}">
      <text/>
    </comment>
    <comment ref="T1126" authorId="0" shapeId="0" xr:uid="{21A89615-F6D8-4B01-A694-BEF8754542D8}">
      <text>
        <r>
          <rPr>
            <b/>
            <sz val="9"/>
            <color indexed="81"/>
            <rFont val="Tahoma"/>
            <family val="2"/>
          </rPr>
          <t>outrage that Republicans ___</t>
        </r>
      </text>
    </comment>
    <comment ref="U1126" authorId="0" shapeId="0" xr:uid="{1443E2CF-D52C-4AB3-B6D5-4CE4F0E1CB9A}">
      <text>
        <r>
          <rPr>
            <b/>
            <sz val="9"/>
            <color indexed="81"/>
            <rFont val="Tahoma"/>
            <family val="2"/>
          </rPr>
          <t>outrage that Democrats ___</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AB57" authorId="0" shapeId="0" xr:uid="{E91625A9-0686-435D-8A29-D2D95FFC57CE}">
      <text>
        <r>
          <rPr>
            <sz val="9"/>
            <color indexed="81"/>
            <rFont val="Tahoma"/>
            <family val="2"/>
          </rPr>
          <t xml:space="preserve">
</t>
        </r>
      </text>
    </comment>
    <comment ref="N91" authorId="0" shapeId="0" xr:uid="{72650BC1-0D4B-4780-A8F8-20B75B588909}">
      <text>
        <r>
          <rPr>
            <sz val="9"/>
            <color indexed="81"/>
            <rFont val="Tahoma"/>
            <family val="2"/>
          </rPr>
          <t xml:space="preserve">
</t>
        </r>
      </text>
    </comment>
    <comment ref="AB91" authorId="0" shapeId="0" xr:uid="{A83E23CD-AD4E-4C0C-BA45-96C0EB692E1D}">
      <text>
        <r>
          <rPr>
            <sz val="9"/>
            <color indexed="81"/>
            <rFont val="Tahoma"/>
            <family val="2"/>
          </rPr>
          <t xml:space="preserve">
</t>
        </r>
      </text>
    </comment>
    <comment ref="AB130" authorId="0" shapeId="0" xr:uid="{28517FEB-D810-403F-A687-7AE6263F9229}">
      <text>
        <r>
          <rPr>
            <sz val="9"/>
            <color indexed="81"/>
            <rFont val="Tahoma"/>
            <family val="2"/>
          </rPr>
          <t xml:space="preserve">
</t>
        </r>
      </text>
    </comment>
    <comment ref="AB166" authorId="0" shapeId="0" xr:uid="{666796AF-E4B8-46FE-B226-3412B08899FA}">
      <text>
        <r>
          <rPr>
            <sz val="9"/>
            <color indexed="81"/>
            <rFont val="Tahoma"/>
            <family val="2"/>
          </rPr>
          <t xml:space="preserve">
</t>
        </r>
      </text>
    </comment>
    <comment ref="AB203" authorId="0" shapeId="0" xr:uid="{8A4E37B0-8F26-4407-8B96-B65BCF23341E}">
      <text>
        <r>
          <rPr>
            <sz val="9"/>
            <color indexed="81"/>
            <rFont val="Tahoma"/>
            <family val="2"/>
          </rPr>
          <t xml:space="preserve">
</t>
        </r>
      </text>
    </comment>
    <comment ref="AB240" authorId="0" shapeId="0" xr:uid="{E6A1F36B-1519-4824-94E5-C17892BA4123}">
      <text>
        <r>
          <rPr>
            <sz val="9"/>
            <color indexed="81"/>
            <rFont val="Tahoma"/>
            <family val="2"/>
          </rPr>
          <t xml:space="preserve">
</t>
        </r>
      </text>
    </comment>
    <comment ref="AB276" authorId="0" shapeId="0" xr:uid="{5408FAAB-3A67-4EBD-B7D6-281BCC675C07}">
      <text>
        <r>
          <rPr>
            <sz val="9"/>
            <color indexed="81"/>
            <rFont val="Tahoma"/>
            <family val="2"/>
          </rPr>
          <t xml:space="preserve">
</t>
        </r>
      </text>
    </comment>
    <comment ref="AB313" authorId="0" shapeId="0" xr:uid="{95AEE191-9C3E-4EAC-ABAA-8ABE72E164AA}">
      <text/>
    </comment>
    <comment ref="AB350" authorId="0" shapeId="0" xr:uid="{7CFE9A49-66B0-4861-A9F7-3B806C66600A}">
      <text>
        <r>
          <rPr>
            <sz val="9"/>
            <color indexed="81"/>
            <rFont val="Tahoma"/>
            <family val="2"/>
          </rPr>
          <t xml:space="preserve">
</t>
        </r>
      </text>
    </comment>
    <comment ref="B380" authorId="0" shapeId="0" xr:uid="{18BC230F-763E-43E1-8BC2-762A3DD3E1B2}">
      <text>
        <r>
          <rPr>
            <b/>
            <sz val="14"/>
            <color indexed="9"/>
            <rFont val="Tahoma"/>
            <family val="2"/>
          </rPr>
          <t>It's your turn to be the moral leader</t>
        </r>
        <r>
          <rPr>
            <sz val="9"/>
            <color indexed="9"/>
            <rFont val="Tahoma"/>
            <family val="2"/>
          </rPr>
          <t xml:space="preserve">
</t>
        </r>
        <r>
          <rPr>
            <sz val="11"/>
            <color indexed="9"/>
            <rFont val="Tahoma"/>
            <family val="2"/>
          </rPr>
          <t>Love shifts your focus away from your needs to empathizing with their needs. Love lets us transition from pain perpetuating generalizations to need resolving specifics. Love transforms you from their lower authority of easing pain to the higher authority of resolved needs. While no one sits above the law, no law sits above the needs it exists to serve. There is no greater authority than resolved needs.</t>
        </r>
      </text>
    </comment>
    <comment ref="AB386" authorId="0" shapeId="0" xr:uid="{6FE3B636-B8E1-4DEC-AC7C-0C3E459091A2}">
      <text>
        <r>
          <rPr>
            <sz val="9"/>
            <color indexed="81"/>
            <rFont val="Tahoma"/>
            <family val="2"/>
          </rPr>
          <t xml:space="preserve">
</t>
        </r>
      </text>
    </comment>
    <comment ref="AB423" authorId="0" shapeId="0" xr:uid="{784BA459-F58F-4DC8-AFD5-DB820F8653C8}">
      <text/>
    </comment>
    <comment ref="AB463" authorId="0" shapeId="0" xr:uid="{5A64E541-F50E-45A4-8BE2-64BCDF258196}">
      <text/>
    </comment>
    <comment ref="AB494" authorId="0" shapeId="0" xr:uid="{BEA61F6E-FC72-4E93-AA22-C8CE0D843463}">
      <text/>
    </comment>
    <comment ref="AB531" authorId="0" shapeId="0" xr:uid="{221D07D0-11A2-4589-9D77-204E42972133}">
      <text/>
    </comment>
    <comment ref="AB561" authorId="0" shapeId="0" xr:uid="{5A1955BB-33B5-45B7-8032-9314BFE92129}">
      <text/>
    </comment>
    <comment ref="AB569" authorId="0" shapeId="0" xr:uid="{CAAD2388-F1FD-454F-B8A4-8BD2BAC44803}">
      <text/>
    </comment>
    <comment ref="AB603" authorId="0" shapeId="0" xr:uid="{9E76C1B4-D2A6-4F2E-9B8F-02F8C786D710}">
      <text/>
    </comment>
    <comment ref="F629" authorId="0" shapeId="0" xr:uid="{583FB129-4082-4F6C-B955-27DB0D9129DB}">
      <text>
        <r>
          <rPr>
            <b/>
            <sz val="10"/>
            <color indexed="81"/>
            <rFont val="Tahoma"/>
            <family val="2"/>
          </rPr>
          <t>SELECT WHICH BEST CHARACTERIZES THIS ASCRIBED IMPACTOR</t>
        </r>
        <r>
          <rPr>
            <b/>
            <sz val="9"/>
            <color indexed="81"/>
            <rFont val="Tahoma"/>
            <family val="2"/>
          </rPr>
          <t xml:space="preserve">
accessible</t>
        </r>
        <r>
          <rPr>
            <sz val="9"/>
            <color indexed="81"/>
            <rFont val="Tahoma"/>
            <family val="2"/>
          </rPr>
          <t xml:space="preserve">: AI can be contacted at will for this process.
</t>
        </r>
        <r>
          <rPr>
            <b/>
            <sz val="9"/>
            <color indexed="81"/>
            <rFont val="Tahoma"/>
            <family val="2"/>
          </rPr>
          <t>potentially</t>
        </r>
        <r>
          <rPr>
            <sz val="9"/>
            <color indexed="81"/>
            <rFont val="Tahoma"/>
            <family val="2"/>
          </rPr>
          <t xml:space="preserve">: AI can be contacted by going through some channels.
</t>
        </r>
        <r>
          <rPr>
            <b/>
            <sz val="9"/>
            <color indexed="81"/>
            <rFont val="Tahoma"/>
            <family val="2"/>
          </rPr>
          <t>unaccessible</t>
        </r>
        <r>
          <rPr>
            <sz val="9"/>
            <color indexed="81"/>
            <rFont val="Tahoma"/>
            <family val="2"/>
          </rPr>
          <t>: AI cannot currently be contacted for this.</t>
        </r>
      </text>
    </comment>
    <comment ref="H629" authorId="0" shapeId="0" xr:uid="{E4C40240-6D33-40BA-9BC9-30BCC6CE1D75}">
      <text>
        <r>
          <rPr>
            <b/>
            <sz val="10"/>
            <color indexed="81"/>
            <rFont val="Tahoma"/>
            <family val="2"/>
          </rPr>
          <t>SELECT WHICH BEST CHARACTERIZES THIS ASCRIBED IMPACTOR</t>
        </r>
        <r>
          <rPr>
            <b/>
            <sz val="9"/>
            <color indexed="81"/>
            <rFont val="Tahoma"/>
            <family val="2"/>
          </rPr>
          <t xml:space="preserve">
direct impact</t>
        </r>
        <r>
          <rPr>
            <sz val="9"/>
            <color indexed="81"/>
            <rFont val="Tahoma"/>
            <family val="2"/>
          </rPr>
          <t xml:space="preserve">: affected needs cannot resolve without this person's direction.
</t>
        </r>
        <r>
          <rPr>
            <b/>
            <sz val="9"/>
            <color indexed="81"/>
            <rFont val="Tahoma"/>
            <family val="2"/>
          </rPr>
          <t>indirect impact</t>
        </r>
        <r>
          <rPr>
            <sz val="9"/>
            <color indexed="81"/>
            <rFont val="Tahoma"/>
            <family val="2"/>
          </rPr>
          <t xml:space="preserve">: affected needs may not resolve without this person's cooperation.
</t>
        </r>
        <r>
          <rPr>
            <b/>
            <sz val="9"/>
            <color indexed="81"/>
            <rFont val="Tahoma"/>
            <family val="2"/>
          </rPr>
          <t>peripheral impact</t>
        </r>
        <r>
          <rPr>
            <sz val="9"/>
            <color indexed="81"/>
            <rFont val="Tahoma"/>
            <family val="2"/>
          </rPr>
          <t>: affected needs can more satisfactorily resolve with this person's input.</t>
        </r>
      </text>
    </comment>
    <comment ref="J629" authorId="0" shapeId="0" xr:uid="{D6624AE8-9CB9-4FDC-A1C3-3F3917373729}">
      <text>
        <r>
          <rPr>
            <b/>
            <sz val="10"/>
            <color indexed="81"/>
            <rFont val="Tahoma"/>
            <family val="2"/>
          </rPr>
          <t>SELECT WHICH BEST CHARACTERIZES THIS ASCRIBED IMPACTOR</t>
        </r>
        <r>
          <rPr>
            <b/>
            <sz val="9"/>
            <color indexed="81"/>
            <rFont val="Tahoma"/>
            <family val="2"/>
          </rPr>
          <t xml:space="preserve">
downchain</t>
        </r>
        <r>
          <rPr>
            <sz val="9"/>
            <color indexed="81"/>
            <rFont val="Tahoma"/>
            <family val="2"/>
          </rPr>
          <t xml:space="preserve">: AI delegates authority to those of lower rank.
</t>
        </r>
        <r>
          <rPr>
            <b/>
            <sz val="9"/>
            <color indexed="81"/>
            <rFont val="Tahoma"/>
            <family val="2"/>
          </rPr>
          <t>sidechain</t>
        </r>
        <r>
          <rPr>
            <sz val="9"/>
            <color indexed="81"/>
            <rFont val="Tahoma"/>
            <family val="2"/>
          </rPr>
          <t xml:space="preserve">: AI shares authority with coequal powerholders.
</t>
        </r>
        <r>
          <rPr>
            <b/>
            <sz val="9"/>
            <color indexed="81"/>
            <rFont val="Tahoma"/>
            <family val="2"/>
          </rPr>
          <t>upchain</t>
        </r>
        <r>
          <rPr>
            <sz val="9"/>
            <color indexed="81"/>
            <rFont val="Tahoma"/>
            <family val="2"/>
          </rPr>
          <t>: AI must check with authority of higher rank.</t>
        </r>
      </text>
    </comment>
    <comment ref="L629" authorId="0" shapeId="0" xr:uid="{CADCCDD1-92C2-4DA2-BBDD-BF5A20C96588}">
      <text>
        <r>
          <rPr>
            <b/>
            <sz val="10"/>
            <color indexed="81"/>
            <rFont val="Tahoma"/>
            <family val="2"/>
          </rPr>
          <t>SELECT WHICH BEST CHARACTERIZES THIS ASCRIBED IMPACTOR</t>
        </r>
        <r>
          <rPr>
            <b/>
            <sz val="9"/>
            <color indexed="81"/>
            <rFont val="Tahoma"/>
            <family val="2"/>
          </rPr>
          <t xml:space="preserve">
unresponsive</t>
        </r>
        <r>
          <rPr>
            <sz val="9"/>
            <color indexed="81"/>
            <rFont val="Tahoma"/>
            <family val="2"/>
          </rPr>
          <t>: AI shows no interest or fails to reply within a reasonable time.</t>
        </r>
        <r>
          <rPr>
            <b/>
            <sz val="9"/>
            <color indexed="81"/>
            <rFont val="Tahoma"/>
            <family val="2"/>
          </rPr>
          <t xml:space="preserve">
responsive</t>
        </r>
        <r>
          <rPr>
            <sz val="9"/>
            <color indexed="81"/>
            <rFont val="Tahoma"/>
            <family val="2"/>
          </rPr>
          <t xml:space="preserve">: AI demonstrates responsiveness to invitation to process.
</t>
        </r>
        <r>
          <rPr>
            <b/>
            <sz val="9"/>
            <color indexed="81"/>
            <rFont val="Tahoma"/>
            <family val="2"/>
          </rPr>
          <t>supportive</t>
        </r>
        <r>
          <rPr>
            <sz val="9"/>
            <color indexed="81"/>
            <rFont val="Tahoma"/>
            <family val="2"/>
          </rPr>
          <t xml:space="preserve">: AI ready to actively support RI's </t>
        </r>
        <r>
          <rPr>
            <b/>
            <i/>
            <sz val="9"/>
            <color indexed="81"/>
            <rFont val="Tahoma"/>
            <family val="2"/>
          </rPr>
          <t>cause</t>
        </r>
        <r>
          <rPr>
            <sz val="9"/>
            <color indexed="81"/>
            <rFont val="Tahoma"/>
            <family val="2"/>
          </rPr>
          <t xml:space="preserve"> with intangible &amp; tangible resources.
</t>
        </r>
        <r>
          <rPr>
            <b/>
            <sz val="9"/>
            <color indexed="81"/>
            <rFont val="Tahoma"/>
            <family val="2"/>
          </rPr>
          <t>investing</t>
        </r>
        <r>
          <rPr>
            <sz val="9"/>
            <color indexed="81"/>
            <rFont val="Tahoma"/>
            <family val="2"/>
          </rPr>
          <t xml:space="preserve">: AI expresses willingness to financially support RI's </t>
        </r>
        <r>
          <rPr>
            <b/>
            <i/>
            <sz val="9"/>
            <color indexed="81"/>
            <rFont val="Tahoma"/>
            <family val="2"/>
          </rPr>
          <t>cause</t>
        </r>
        <r>
          <rPr>
            <sz val="9"/>
            <color indexed="81"/>
            <rFont val="Tahoma"/>
            <family val="2"/>
          </rPr>
          <t xml:space="preserve"> to resolve identified need(s).</t>
        </r>
      </text>
    </comment>
    <comment ref="AK629" authorId="0" shapeId="0" xr:uid="{CA8B8A48-3626-4A0F-82D3-7E61B4888F1A}">
      <text>
        <r>
          <rPr>
            <b/>
            <sz val="10"/>
            <color indexed="81"/>
            <rFont val="Tahoma"/>
            <family val="2"/>
          </rPr>
          <t>SELECT WHICH BEST CHARACTERIZES THIS ASCRIBED IMPACTOR</t>
        </r>
        <r>
          <rPr>
            <b/>
            <sz val="9"/>
            <color indexed="81"/>
            <rFont val="Tahoma"/>
            <family val="2"/>
          </rPr>
          <t xml:space="preserve">
accessible</t>
        </r>
        <r>
          <rPr>
            <sz val="9"/>
            <color indexed="81"/>
            <rFont val="Tahoma"/>
            <family val="2"/>
          </rPr>
          <t xml:space="preserve">: AI can be contacted at will for this process.
</t>
        </r>
        <r>
          <rPr>
            <b/>
            <sz val="9"/>
            <color indexed="81"/>
            <rFont val="Tahoma"/>
            <family val="2"/>
          </rPr>
          <t>potentially</t>
        </r>
        <r>
          <rPr>
            <sz val="9"/>
            <color indexed="81"/>
            <rFont val="Tahoma"/>
            <family val="2"/>
          </rPr>
          <t xml:space="preserve">: AI can be contacted by going through some channels.
</t>
        </r>
        <r>
          <rPr>
            <b/>
            <sz val="9"/>
            <color indexed="81"/>
            <rFont val="Tahoma"/>
            <family val="2"/>
          </rPr>
          <t>unaccessible</t>
        </r>
        <r>
          <rPr>
            <sz val="9"/>
            <color indexed="81"/>
            <rFont val="Tahoma"/>
            <family val="2"/>
          </rPr>
          <t>: AI cannot currently be contated for this.</t>
        </r>
      </text>
    </comment>
    <comment ref="AM629" authorId="0" shapeId="0" xr:uid="{1400670E-25F7-416D-AC3A-5F30123C9F3D}">
      <text>
        <r>
          <rPr>
            <b/>
            <sz val="10"/>
            <color indexed="81"/>
            <rFont val="Tahoma"/>
            <family val="2"/>
          </rPr>
          <t>SELECT WHICH BEST CHARACTERIZES THIS ASCRIBED IMPACTOR</t>
        </r>
        <r>
          <rPr>
            <b/>
            <sz val="9"/>
            <color indexed="81"/>
            <rFont val="Tahoma"/>
            <family val="2"/>
          </rPr>
          <t xml:space="preserve">
direct impact</t>
        </r>
        <r>
          <rPr>
            <sz val="9"/>
            <color indexed="81"/>
            <rFont val="Tahoma"/>
            <family val="2"/>
          </rPr>
          <t xml:space="preserve">: affected needs cannot resolve without this person's direction.
</t>
        </r>
        <r>
          <rPr>
            <b/>
            <sz val="9"/>
            <color indexed="81"/>
            <rFont val="Tahoma"/>
            <family val="2"/>
          </rPr>
          <t>moderate impact</t>
        </r>
        <r>
          <rPr>
            <sz val="9"/>
            <color indexed="81"/>
            <rFont val="Tahoma"/>
            <family val="2"/>
          </rPr>
          <t xml:space="preserve">: affected needs may not resolve without this person's cooperation.
</t>
        </r>
        <r>
          <rPr>
            <b/>
            <sz val="9"/>
            <color indexed="81"/>
            <rFont val="Tahoma"/>
            <family val="2"/>
          </rPr>
          <t>peripheral impact</t>
        </r>
        <r>
          <rPr>
            <sz val="9"/>
            <color indexed="81"/>
            <rFont val="Tahoma"/>
            <family val="2"/>
          </rPr>
          <t>: affected needs can more satisfactorily resolve with this person's input.</t>
        </r>
      </text>
    </comment>
    <comment ref="AO629" authorId="0" shapeId="0" xr:uid="{C3964655-36EA-4AE5-BA47-5801A75FDC2C}">
      <text>
        <r>
          <rPr>
            <b/>
            <sz val="10"/>
            <color indexed="81"/>
            <rFont val="Tahoma"/>
            <family val="2"/>
          </rPr>
          <t>SELECT WHICH BEST CHARACTERIZES THIS ASCRIBED IMPACTOR</t>
        </r>
        <r>
          <rPr>
            <b/>
            <sz val="9"/>
            <color indexed="81"/>
            <rFont val="Tahoma"/>
            <family val="2"/>
          </rPr>
          <t xml:space="preserve">
downchain</t>
        </r>
        <r>
          <rPr>
            <sz val="9"/>
            <color indexed="81"/>
            <rFont val="Tahoma"/>
            <family val="2"/>
          </rPr>
          <t xml:space="preserve">: AI delegates authority to those of lower rank.
</t>
        </r>
        <r>
          <rPr>
            <b/>
            <sz val="9"/>
            <color indexed="81"/>
            <rFont val="Tahoma"/>
            <family val="2"/>
          </rPr>
          <t>sidechain</t>
        </r>
        <r>
          <rPr>
            <sz val="9"/>
            <color indexed="81"/>
            <rFont val="Tahoma"/>
            <family val="2"/>
          </rPr>
          <t xml:space="preserve">: AI shares authority with coequal powerholders.
</t>
        </r>
        <r>
          <rPr>
            <b/>
            <sz val="9"/>
            <color indexed="81"/>
            <rFont val="Tahoma"/>
            <family val="2"/>
          </rPr>
          <t>upchain</t>
        </r>
        <r>
          <rPr>
            <sz val="9"/>
            <color indexed="81"/>
            <rFont val="Tahoma"/>
            <family val="2"/>
          </rPr>
          <t>: AI must check with authority of higher rank.</t>
        </r>
      </text>
    </comment>
    <comment ref="AQ629" authorId="0" shapeId="0" xr:uid="{2BFEDD1D-BB4B-4A9C-9020-12587AB4E68E}">
      <text>
        <r>
          <rPr>
            <b/>
            <sz val="10"/>
            <color indexed="81"/>
            <rFont val="Tahoma"/>
            <family val="2"/>
          </rPr>
          <t>SELECT WHICH BEST CHARACTERIZES THIS ASCRIBED IMPACTOR</t>
        </r>
        <r>
          <rPr>
            <b/>
            <sz val="9"/>
            <color indexed="81"/>
            <rFont val="Tahoma"/>
            <family val="2"/>
          </rPr>
          <t xml:space="preserve">
unresonsive</t>
        </r>
        <r>
          <rPr>
            <sz val="9"/>
            <color indexed="81"/>
            <rFont val="Tahoma"/>
            <family val="2"/>
          </rPr>
          <t>: AI shows no interest or fails to reply within a reasonable time.</t>
        </r>
        <r>
          <rPr>
            <b/>
            <sz val="9"/>
            <color indexed="81"/>
            <rFont val="Tahoma"/>
            <family val="2"/>
          </rPr>
          <t xml:space="preserve">
responsive</t>
        </r>
        <r>
          <rPr>
            <sz val="9"/>
            <color indexed="81"/>
            <rFont val="Tahoma"/>
            <family val="2"/>
          </rPr>
          <t xml:space="preserve">: AI demonstrates responsiveness to invitation to process.
</t>
        </r>
        <r>
          <rPr>
            <b/>
            <sz val="9"/>
            <color indexed="81"/>
            <rFont val="Tahoma"/>
            <family val="2"/>
          </rPr>
          <t>supportive</t>
        </r>
        <r>
          <rPr>
            <sz val="9"/>
            <color indexed="81"/>
            <rFont val="Tahoma"/>
            <family val="2"/>
          </rPr>
          <t xml:space="preserve">: AI ready to actively support RI's </t>
        </r>
        <r>
          <rPr>
            <b/>
            <i/>
            <sz val="9"/>
            <color indexed="81"/>
            <rFont val="Tahoma"/>
            <family val="2"/>
          </rPr>
          <t>cause</t>
        </r>
        <r>
          <rPr>
            <sz val="9"/>
            <color indexed="81"/>
            <rFont val="Tahoma"/>
            <family val="2"/>
          </rPr>
          <t xml:space="preserve"> with tangible resources.
</t>
        </r>
        <r>
          <rPr>
            <b/>
            <sz val="9"/>
            <color indexed="81"/>
            <rFont val="Tahoma"/>
            <family val="2"/>
          </rPr>
          <t>investing</t>
        </r>
        <r>
          <rPr>
            <sz val="9"/>
            <color indexed="81"/>
            <rFont val="Tahoma"/>
            <family val="2"/>
          </rPr>
          <t xml:space="preserve">: AI expresses willingness to support RI's </t>
        </r>
        <r>
          <rPr>
            <b/>
            <i/>
            <sz val="9"/>
            <color indexed="81"/>
            <rFont val="Tahoma"/>
            <family val="2"/>
          </rPr>
          <t>cause</t>
        </r>
        <r>
          <rPr>
            <sz val="9"/>
            <color indexed="81"/>
            <rFont val="Tahoma"/>
            <family val="2"/>
          </rPr>
          <t xml:space="preserve"> to resolve identified need(s).</t>
        </r>
      </text>
    </comment>
    <comment ref="G640" authorId="0" shapeId="0" xr:uid="{872C6115-67C3-4E48-9FBF-E1B37344F9EE}">
      <text>
        <r>
          <rPr>
            <b/>
            <sz val="8"/>
            <color indexed="21"/>
            <rFont val="Verdana"/>
            <family val="2"/>
          </rPr>
          <t>10% of the total weekly payment goes to the platform providing this service. The remainder is split by percentages as set by Value Relating.</t>
        </r>
        <r>
          <rPr>
            <b/>
            <sz val="9"/>
            <color indexed="81"/>
            <rFont val="Tahoma"/>
            <family val="2"/>
          </rPr>
          <t xml:space="preserve">
$4.50 is your weekly billing during this initial phase</t>
        </r>
        <r>
          <rPr>
            <sz val="9"/>
            <color indexed="81"/>
            <rFont val="Tahoma"/>
            <family val="2"/>
          </rPr>
          <t xml:space="preserve">
All goes to your new advocate, who sets up your campaign. Anything left over goes to your campaign account.</t>
        </r>
      </text>
    </comment>
    <comment ref="G646" authorId="0" shapeId="0" xr:uid="{8939DA5D-896E-43F8-8679-00500FC86305}">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$45.00 is your weekly billing during base phase</t>
        </r>
        <r>
          <rPr>
            <sz val="9"/>
            <color indexed="81"/>
            <rFont val="Tahoma"/>
            <family val="2"/>
          </rPr>
          <t xml:space="preserve">
$18.00 goes to your advocate to set up your campaign.
$27.00 goes to your guide to ensure your success.
Anything left over goes into your campaign account.
When current support level drops below $45, services are prorated until levels meet the weekly billed amount.</t>
        </r>
      </text>
    </comment>
    <comment ref="G652" authorId="0" shapeId="0" xr:uid="{E0D10A54-7B16-4C7C-8D2E-1F1D605BEF88}">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$90.00 is your weekly billing during launch phase</t>
        </r>
        <r>
          <rPr>
            <sz val="9"/>
            <color indexed="81"/>
            <rFont val="Tahoma"/>
            <family val="2"/>
          </rPr>
          <t xml:space="preserve">
$36.00 goes to your advocate to ground your campaign.
$54.00 goes to your guide to ensure your success.
Anything left over goes into your campaign account.
When current support level drops below $45, services are prorated until levels meet the weekly billed amount.</t>
        </r>
      </text>
    </comment>
    <comment ref="G659" authorId="0" shapeId="0" xr:uid="{1B6DB8B2-D667-4AFA-8874-6DBF4C4A33E2}">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$180.00 is your weekly billing during launch phase</t>
        </r>
        <r>
          <rPr>
            <sz val="9"/>
            <color indexed="81"/>
            <rFont val="Tahoma"/>
            <family val="2"/>
          </rPr>
          <t xml:space="preserve">
$63.00 goes to your advocate to ground your campaign.
$117.00 goes to your guide to ensure your success.
Anything left over goes into your campaign account.
When current support level drops below $45, services are prorated until levels meet the weekly billed amount.</t>
        </r>
      </text>
    </comment>
    <comment ref="G667" authorId="0" shapeId="0" xr:uid="{A8014975-66CF-481E-849A-8566FE54B747}">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$180.00 is your weekly billing during launch phase</t>
        </r>
        <r>
          <rPr>
            <sz val="9"/>
            <color indexed="81"/>
            <rFont val="Tahoma"/>
            <family val="2"/>
          </rPr>
          <t xml:space="preserve">
$108.00 goes to your advocate to ground your campaign.
$252.00 goes to your guide to ensure your success.
Anything left over goes into your campaign account.
When current support level drops below $45, services are prorated until levels meet the weekly billed amount.</t>
        </r>
      </text>
    </comment>
    <comment ref="AB677" authorId="0" shapeId="0" xr:uid="{C8D1ACC0-7B19-4317-BB1C-416478F4A862}">
      <text/>
    </comment>
    <comment ref="AB715" authorId="0" shapeId="0" xr:uid="{AEFBCFBA-0B35-45CF-8870-A01A718DADB5}">
      <text/>
    </comment>
    <comment ref="AB739" authorId="0" shapeId="0" xr:uid="{F2ECC101-5DAD-4A89-A5A5-50F516043A6D}">
      <text/>
    </comment>
    <comment ref="AB750" authorId="0" shapeId="0" xr:uid="{F94C97E5-2F6E-47B7-8E22-4B4D23F7C34D}">
      <text/>
    </comment>
    <comment ref="AB784" authorId="0" shapeId="0" xr:uid="{8377E406-409C-44E8-809B-56C62B0DC8D5}">
      <text/>
    </comment>
    <comment ref="AB820" authorId="0" shapeId="0" xr:uid="{95209C1A-9A4C-4D30-A89E-DBF608D2B2E9}">
      <text/>
    </comment>
    <comment ref="B835" authorId="0" shapeId="0" xr:uid="{71FA0AD6-847E-430F-B045-CA54F8492CF7}">
      <text>
        <r>
          <rPr>
            <b/>
            <sz val="11"/>
            <color indexed="81"/>
            <rFont val="Tahoma"/>
            <family val="2"/>
          </rPr>
          <t>Description for some of these adversarial options</t>
        </r>
        <r>
          <rPr>
            <sz val="9"/>
            <color indexed="81"/>
            <rFont val="Tahoma"/>
            <family val="2"/>
          </rPr>
          <t xml:space="preserve">
</t>
        </r>
        <r>
          <rPr>
            <b/>
            <sz val="9"/>
            <color indexed="16"/>
            <rFont val="Tahoma"/>
            <family val="2"/>
          </rPr>
          <t>SLAPP</t>
        </r>
        <r>
          <rPr>
            <sz val="9"/>
            <color indexed="16"/>
            <rFont val="Tahoma"/>
            <family val="2"/>
          </rPr>
          <t xml:space="preserve"> = strategic lawsuit against public participation, or optimizing your due process rights to confront Impactor.
“</t>
        </r>
        <r>
          <rPr>
            <b/>
            <sz val="9"/>
            <color indexed="16"/>
            <rFont val="Tahoma"/>
            <family val="2"/>
          </rPr>
          <t>confront revenue sources</t>
        </r>
        <r>
          <rPr>
            <sz val="9"/>
            <color indexed="16"/>
            <rFont val="Tahoma"/>
            <family val="2"/>
          </rPr>
          <t>” = challenge legitimacy of funding an idenfiable &amp; unaccountable damaging outcome.
“</t>
        </r>
        <r>
          <rPr>
            <b/>
            <sz val="9"/>
            <color indexed="16"/>
            <rFont val="Tahoma"/>
            <family val="2"/>
          </rPr>
          <t>strategic noncooperation</t>
        </r>
        <r>
          <rPr>
            <sz val="9"/>
            <color indexed="16"/>
            <rFont val="Tahoma"/>
            <family val="2"/>
          </rPr>
          <t>” = your support team builds consensus to cut off all relations with Impactor.
“</t>
        </r>
        <r>
          <rPr>
            <b/>
            <sz val="9"/>
            <color indexed="16"/>
            <rFont val="Tahoma"/>
            <family val="2"/>
          </rPr>
          <t>public vilification</t>
        </r>
        <r>
          <rPr>
            <sz val="9"/>
            <color indexed="16"/>
            <rFont val="Tahoma"/>
            <family val="2"/>
          </rPr>
          <t>” = your support actively denounces Impactor on social and other media for its nefarious behavior.
“</t>
        </r>
        <r>
          <rPr>
            <b/>
            <sz val="9"/>
            <color indexed="16"/>
            <rFont val="Tahoma"/>
            <family val="2"/>
          </rPr>
          <t>comprehensive ostracization</t>
        </r>
        <r>
          <rPr>
            <sz val="9"/>
            <color indexed="16"/>
            <rFont val="Tahoma"/>
            <family val="2"/>
          </rPr>
          <t>” = you build a movement to denunciate Impactor; short of mortification.
“</t>
        </r>
        <r>
          <rPr>
            <b/>
            <sz val="9"/>
            <color indexed="16"/>
            <rFont val="Tahoma"/>
            <family val="2"/>
          </rPr>
          <t>avowed mortification</t>
        </r>
        <r>
          <rPr>
            <sz val="9"/>
            <color indexed="16"/>
            <rFont val="Tahoma"/>
            <family val="2"/>
          </rPr>
          <t>” = you build consensus to consider Impactor socially dead, and avow to defend resolving needs even if you must resist their violence with a firm stand; your most severe adversarial option.</t>
        </r>
      </text>
    </comment>
    <comment ref="AB840" authorId="0" shapeId="0" xr:uid="{E6713D94-F469-4A52-BF72-B613D95187B4}">
      <text/>
    </comment>
    <comment ref="M859" authorId="0" shapeId="0" xr:uid="{5BDDEDE6-51FA-4961-96E0-0358532E548A}">
      <text>
        <r>
          <rPr>
            <b/>
            <sz val="9"/>
            <color indexed="81"/>
            <rFont val="Tahoma"/>
            <family val="2"/>
          </rPr>
          <t>CC = campaign cause</t>
        </r>
        <r>
          <rPr>
            <sz val="9"/>
            <color indexed="81"/>
            <rFont val="Tahoma"/>
            <family val="2"/>
          </rPr>
          <t xml:space="preserve">
This illustrates the accumalitive weekly revenue raised at the given levels of support for your campaign as provided above.</t>
        </r>
      </text>
    </comment>
    <comment ref="C860" authorId="0" shapeId="0" xr:uid="{78EDD55E-7F00-46CA-95C6-A8743A96B643}">
      <text>
        <r>
          <rPr>
            <b/>
            <sz val="9"/>
            <color indexed="81"/>
            <rFont val="Tahoma"/>
            <family val="2"/>
          </rPr>
          <t xml:space="preserve">Edit this date field. </t>
        </r>
        <r>
          <rPr>
            <sz val="9"/>
            <color indexed="81"/>
            <rFont val="Tahoma"/>
            <family val="2"/>
          </rPr>
          <t>Change this default starting date to see how this could fit your schedule.</t>
        </r>
      </text>
    </comment>
    <comment ref="M869" authorId="0" shapeId="0" xr:uid="{57EFABB6-3DD2-4736-8E61-00CCF4035A1E}">
      <text>
        <r>
          <rPr>
            <b/>
            <sz val="9"/>
            <color indexed="81"/>
            <rFont val="Tahoma"/>
            <family val="2"/>
          </rPr>
          <t>CC = campaign cause</t>
        </r>
        <r>
          <rPr>
            <sz val="9"/>
            <color indexed="81"/>
            <rFont val="Tahoma"/>
            <family val="2"/>
          </rPr>
          <t xml:space="preserve">
This illustrates the accumalitive weekly revenue raised at the given levels of support for your campaign as provided above.</t>
        </r>
      </text>
    </comment>
    <comment ref="AA901" authorId="0" shapeId="0" xr:uid="{D8793E14-0E75-422E-98EB-29155DB6CFD9}">
      <text/>
    </comment>
    <comment ref="J908" authorId="0" shapeId="0" xr:uid="{FC52B9AC-C56C-47EB-846C-45BFAD7B5EDD}">
      <text>
        <r>
          <rPr>
            <b/>
            <sz val="16"/>
            <color indexed="17"/>
            <rFont val="Tahoma"/>
            <family val="2"/>
          </rPr>
          <t>Relating Terms of Interaction</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ANNOUNCE</t>
        </r>
        <r>
          <rPr>
            <sz val="12"/>
            <color indexed="81"/>
            <rFont val="Cambria"/>
            <family val="1"/>
          </rPr>
          <t xml:space="preserve"> – I INVITE you to replace divisive politics with all its hateful hostilities, with Harmony Politics. Demonstrate the higher authority of resolved needs via love. </t>
        </r>
        <r>
          <rPr>
            <b/>
            <sz val="12"/>
            <color indexed="54"/>
            <rFont val="Cambria"/>
            <family val="1"/>
          </rPr>
          <t>Terms of Interaction</t>
        </r>
        <r>
          <rPr>
            <sz val="12"/>
            <color indexed="81"/>
            <rFont val="Cambria"/>
            <family val="1"/>
          </rPr>
          <t xml:space="preserve">. </t>
        </r>
        <r>
          <rPr>
            <sz val="10"/>
            <color indexed="81"/>
            <rFont val="Times New Roman"/>
            <family val="1"/>
          </rPr>
          <t xml:space="preserve">
</t>
        </r>
        <r>
          <rPr>
            <sz val="12"/>
            <color indexed="81"/>
            <rFont val="Cambria"/>
            <family val="1"/>
          </rPr>
          <t>You are INVITED to replace our previous reliance upon impersonal laws with personal need-responsiveness to guide our interactions from this point forward.</t>
        </r>
      </text>
    </comment>
    <comment ref="L908" authorId="0" shapeId="0" xr:uid="{B9164C04-4B50-4015-BE18-20E2D6C14DEF}">
      <text>
        <r>
          <rPr>
            <b/>
            <sz val="16"/>
            <color indexed="20"/>
            <rFont val="Tahoma"/>
            <family val="2"/>
          </rPr>
          <t>Relating Terms of Interaction</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set </t>
        </r>
        <r>
          <rPr>
            <b/>
            <sz val="11"/>
            <color indexed="81"/>
            <rFont val="Times New Roman"/>
            <family val="1"/>
          </rPr>
          <t>need-responsive</t>
        </r>
        <r>
          <rPr>
            <sz val="11"/>
            <color indexed="81"/>
            <rFont val="Times New Roman"/>
            <family val="1"/>
          </rPr>
          <t xml:space="preserve"> standards for our interaction with each other. </t>
        </r>
        <r>
          <rPr>
            <sz val="10"/>
            <color indexed="81"/>
            <rFont val="Times New Roman"/>
            <family val="1"/>
          </rPr>
          <t xml:space="preserve">
</t>
        </r>
        <r>
          <rPr>
            <b/>
            <sz val="16"/>
            <color indexed="17"/>
            <rFont val="Tahoma"/>
            <family val="2"/>
          </rPr>
          <t xml:space="preserve">I publicly declare myself as </t>
        </r>
        <r>
          <rPr>
            <b/>
            <i/>
            <sz val="16"/>
            <color indexed="17"/>
            <rFont val="Tahoma"/>
            <family val="2"/>
          </rPr>
          <t>need-responsive</t>
        </r>
        <r>
          <rPr>
            <b/>
            <sz val="16"/>
            <color indexed="17"/>
            <rFont val="Tahoma"/>
            <family val="2"/>
          </rPr>
          <t>.</t>
        </r>
        <r>
          <rPr>
            <sz val="10"/>
            <color indexed="81"/>
            <rFont val="Times New Roman"/>
            <family val="1"/>
          </rPr>
          <t xml:space="preserve">
</t>
        </r>
        <r>
          <rPr>
            <sz val="12"/>
            <color indexed="81"/>
            <rFont val="Times New Roman"/>
            <family val="1"/>
          </rPr>
          <t xml:space="preserve">This is the first in five progressing stages presenting my need-responsiveness. </t>
        </r>
        <r>
          <rPr>
            <sz val="10"/>
            <color indexed="81"/>
            <rFont val="Times New Roman"/>
            <family val="1"/>
          </rPr>
          <t xml:space="preserve">
Welcome to need-response, a new professional field applying anankelogy, the new disciplined study of need. Learn more about need-response and anankelogy at </t>
        </r>
        <r>
          <rPr>
            <sz val="8"/>
            <color indexed="17"/>
            <rFont val="Arial Black"/>
            <family val="2"/>
          </rPr>
          <t>Value</t>
        </r>
        <r>
          <rPr>
            <sz val="8"/>
            <color indexed="81"/>
            <rFont val="Arial Black"/>
            <family val="2"/>
          </rPr>
          <t xml:space="preserve"> </t>
        </r>
        <r>
          <rPr>
            <sz val="8"/>
            <color indexed="20"/>
            <rFont val="Arial Black"/>
            <family val="2"/>
          </rPr>
          <t>Relating</t>
        </r>
        <r>
          <rPr>
            <sz val="10"/>
            <color indexed="81"/>
            <rFont val="Times New Roman"/>
            <family val="1"/>
          </rPr>
          <t xml:space="preserve">. This stage announces my committed responsiveness to mutually affected needs.
_____________________________________________________________________________________
Welcome to a better way to relate to each other. These terms define and potentially enhance our relation to each other. As entities rely on stated terms for interactions, these terms introduce you to new parameters for your formal interaction with me.
</t>
        </r>
        <r>
          <rPr>
            <b/>
            <sz val="12"/>
            <color indexed="81"/>
            <rFont val="Tahoma"/>
            <family val="2"/>
          </rPr>
          <t>Summary</t>
        </r>
        <r>
          <rPr>
            <sz val="12"/>
            <color indexed="81"/>
            <rFont val="Tahoma"/>
            <family val="2"/>
          </rPr>
          <t>: You are INVITED to replace our previous reliance upon impersonal laws with personal need-responsiveness to guide our interactions from this point forward.</t>
        </r>
        <r>
          <rPr>
            <sz val="10"/>
            <color indexed="81"/>
            <rFont val="Times New Roman"/>
            <family val="1"/>
          </rPr>
          <t xml:space="preserve">
</t>
        </r>
        <r>
          <rPr>
            <b/>
            <sz val="14"/>
            <color indexed="20"/>
            <rFont val="Tahoma"/>
            <family val="2"/>
          </rPr>
          <t>Reintroduction</t>
        </r>
        <r>
          <rPr>
            <sz val="10"/>
            <color indexed="81"/>
            <rFont val="Times New Roman"/>
            <family val="1"/>
          </rPr>
          <t xml:space="preserve">
Whether you know me well, or know me from a distance, I reintroduce myself to you on fresh terms. Old assumptions about me and our relation are to be questioned, to improve outcomes for us both. And to improve out impacts upon others, including those we do not even personally know.
As these terms reset any presumed expectations between us, you are welcome to reply with your own set terms. The less your given terms accord with anankelogy principles, the more distant we are to remain from each other. We can continue to dialogue how best to respect each other’s affected needs, starting with this first step in our realignment. 
</t>
        </r>
        <r>
          <rPr>
            <b/>
            <sz val="14"/>
            <color indexed="20"/>
            <rFont val="Tahoma"/>
            <family val="2"/>
          </rPr>
          <t>Realignment</t>
        </r>
        <r>
          <rPr>
            <sz val="10"/>
            <color indexed="81"/>
            <rFont val="Times New Roman"/>
            <family val="1"/>
          </rPr>
          <t xml:space="preserve">
Please read these assertions to appreciate this realignment of our interactions, to accountably resolve our mutually affected needs. All prior interactions presume our interactions shall be guided primarily by impersonal norms.
Prior interactions leaned heavily on impersonal laws to guide our assumptions and actions. From this point forward, the standard is set higher than the law’s harm-reducing and pain-relieving standards.
I can only maintain need-responsiveness as others are responsive to my affected needs. The less I can resolve my needs due to limits imposed by others, especially from those with the influential power to limit my access to necessary resources, the less I can be sustainably need-responsive to you or to others.
</t>
        </r>
        <r>
          <rPr>
            <b/>
            <sz val="14"/>
            <color indexed="20"/>
            <rFont val="Tahoma"/>
            <family val="2"/>
          </rPr>
          <t xml:space="preserve">Anankelogy </t>
        </r>
        <r>
          <rPr>
            <sz val="10"/>
            <color indexed="81"/>
            <rFont val="Times New Roman"/>
            <family val="1"/>
          </rPr>
          <t xml:space="preserve">
These terms rely heavily upon anankelogy, the disciplined study of need. These terms integrate a more thorough understanding of our less obvious impacts on each other’s needs. Without these proactive terms, our formal relation risks remaining constrained by limiting norms that routinely prevent full resolution of needs. These terms apply anankelogy in the form of need-response.
</t>
        </r>
        <r>
          <rPr>
            <b/>
            <sz val="14"/>
            <color indexed="20"/>
            <rFont val="Tahoma"/>
            <family val="2"/>
          </rPr>
          <t>Need-response</t>
        </r>
        <r>
          <rPr>
            <sz val="10"/>
            <color indexed="81"/>
            <rFont val="Times New Roman"/>
            <family val="1"/>
          </rPr>
          <t xml:space="preserve">
BE INFORMED that, from now on, all our interactions shall be guided by need-responsiveness—a higher standard than arbitrary human law. You acknowledge any previous agreement between us not prioritizing resolution of needs sits at a lower standard than need-responsiveness. 
By continuing any formal relation with me, you acknowledge my need to operate under a higher standard of need-responsiveness. Any failure to respond to expressed needs warrants a reexamination of our professional rapport. You then risk being targeted as opposing resolution of needs, as being need-unresponsive. Once targeted and determined as unresponsive, our relation will likely be terminated—at whatever cost to all parties involved.
By continuing any formal relation with me, you acknowledge these ten need-response principles to maintain need-responsiveness, including each assertion made within. You are free to question any statement, and have me identify its essential basis for need-responsiveness. You are free to terminate our formal relation, with a risk of your professional reputation as widely viewed as unresponsive to affected needs. You are encouraged to see how each of these higher standards can benefit you.
</t>
        </r>
        <r>
          <rPr>
            <b/>
            <sz val="11"/>
            <color indexed="17"/>
            <rFont val="Tahoma"/>
            <family val="2"/>
          </rPr>
          <t xml:space="preserve">1. </t>
        </r>
        <r>
          <rPr>
            <b/>
            <sz val="11"/>
            <color indexed="58"/>
            <rFont val="Tahoma"/>
            <family val="2"/>
          </rPr>
          <t>Knowing your impact on needs</t>
        </r>
        <r>
          <rPr>
            <sz val="10"/>
            <color indexed="81"/>
            <rFont val="Times New Roman"/>
            <family val="1"/>
          </rPr>
          <t xml:space="preserve">
You admit you do not know what you do not know, nor can you possibly independently know all the ways you impact others. You acknowledge the possibility of unknowingly harming others of relatively less influential power than you. You recognize you can improve your awareness of impacts with proper reporting tools that can provide scientifically sound data to guide your decision-making. In short, you humbly admit your lack of full scientific legitimacy.
</t>
        </r>
        <r>
          <rPr>
            <b/>
            <sz val="11"/>
            <color indexed="81"/>
            <rFont val="Tahoma"/>
            <family val="2"/>
          </rPr>
          <t xml:space="preserve">
</t>
        </r>
        <r>
          <rPr>
            <b/>
            <sz val="11"/>
            <color indexed="17"/>
            <rFont val="Tahoma"/>
            <family val="2"/>
          </rPr>
          <t xml:space="preserve">2. </t>
        </r>
        <r>
          <rPr>
            <b/>
            <sz val="11"/>
            <color indexed="58"/>
            <rFont val="Tahoma"/>
            <family val="2"/>
          </rPr>
          <t>Your democratic responsiveness</t>
        </r>
        <r>
          <rPr>
            <sz val="10"/>
            <color indexed="81"/>
            <rFont val="Times New Roman"/>
            <family val="1"/>
          </rPr>
          <t xml:space="preserve">
You admit it is against the grain of law to fully resolve needs, that laws themselves do not resolve needs. You acknowledge human laws are kept vague for diverse applicability, and therefore easily overlook each other’s specific needs when routinely applied. You admit the institutions of law and democracy can be manipulated by elites to serve their interests at the expense of the relatively less powerful. You further acknowledge representative democracy can only be as good as the options powerful elites offer on the ballot. You recognize we can transition from the general rule of law, and from overgeneralizing representative democracy, to the specifics of mutual need-responsiveness. In short, you humbly admit your lack of full legal and democratic legitimacy.
</t>
        </r>
        <r>
          <rPr>
            <b/>
            <sz val="11"/>
            <color indexed="17"/>
            <rFont val="Tahoma"/>
            <family val="2"/>
          </rPr>
          <t xml:space="preserve">3. </t>
        </r>
        <r>
          <rPr>
            <b/>
            <sz val="11"/>
            <color indexed="58"/>
            <rFont val="Tahoma"/>
            <family val="2"/>
          </rPr>
          <t>Your constitutional responsiveness</t>
        </r>
        <r>
          <rPr>
            <sz val="10"/>
            <color indexed="81"/>
            <rFont val="Times New Roman"/>
            <family val="1"/>
          </rPr>
          <t xml:space="preserve">
You admit all core needs sit equal before nature, that no one can healthily choose to submit their needs to serve laws nor institutions created to serve those needs. You acknowledge the risk for harm when institutions shift their focus from serving large-scale needs, for which they exist and remain commissioned to serve, to serving their own needs at the expense of the relatively less powerful. You recognize the standard to measure each other’s behavior by how well they help result in resolving needs. In short, you humbly admit your lack of full constitutional legitimacy.
</t>
        </r>
        <r>
          <rPr>
            <b/>
            <sz val="11"/>
            <color indexed="17"/>
            <rFont val="Tahoma"/>
            <family val="2"/>
          </rPr>
          <t xml:space="preserve">4. </t>
        </r>
        <r>
          <rPr>
            <b/>
            <sz val="11"/>
            <color indexed="58"/>
            <rFont val="Tahoma"/>
            <family val="2"/>
          </rPr>
          <t>Your inspirational responsiveness</t>
        </r>
        <r>
          <rPr>
            <sz val="10"/>
            <color indexed="81"/>
            <rFont val="Times New Roman"/>
            <family val="1"/>
          </rPr>
          <t xml:space="preserve">
You admit while no one sits above the law, no law sits above the needs it exists to serve, that the point of law is to serve needs and not for law to force service to itself or to law enforcement. You acknowledge the “legal leverage” of those with greater resources to compel compliance from the relatively less powerful, who often acquiesce by seeking meaning for their inability to access the same level of legal, executive, judicial or legislative privilege. You recognize humanity’s diverse religious traditions have variously provided for the human need for meaning and purpose in ways we can now aspire through need-responsiveness. In short, you humbly admit your lack of full scriptural legitimacy.
</t>
        </r>
        <r>
          <rPr>
            <b/>
            <sz val="11"/>
            <color indexed="17"/>
            <rFont val="Tahoma"/>
            <family val="2"/>
          </rPr>
          <t xml:space="preserve">5. </t>
        </r>
        <r>
          <rPr>
            <b/>
            <sz val="11"/>
            <color indexed="58"/>
            <rFont val="Tahoma"/>
            <family val="2"/>
          </rPr>
          <t>Our wisdom to resolve needs</t>
        </r>
        <r>
          <rPr>
            <sz val="10"/>
            <color indexed="81"/>
            <rFont val="Times New Roman"/>
            <family val="1"/>
          </rPr>
          <t xml:space="preserve">
You admit we cannot solve our specific problems from the level of generalizing that created them, that avoiding specifics has an inverse correlation with resolving needs. You acknowledge your risk for harm if acting on unchecked generalizing about the relatively less powerful you impact. You recognize the wisdom to relying only upon the generalizations of universal principles, and the wisdom to know specifics for resolving needs together. In short, you humbly admit your lack of full wisdom legitimacy.
</t>
        </r>
        <r>
          <rPr>
            <b/>
            <sz val="11"/>
            <color indexed="17"/>
            <rFont val="Tahoma"/>
            <family val="2"/>
          </rPr>
          <t xml:space="preserve">6. </t>
        </r>
        <r>
          <rPr>
            <b/>
            <sz val="11"/>
            <color indexed="58"/>
            <rFont val="Tahoma"/>
            <family val="2"/>
          </rPr>
          <t>Our love to resolve needs</t>
        </r>
        <r>
          <rPr>
            <sz val="10"/>
            <color indexed="81"/>
            <rFont val="Times New Roman"/>
            <family val="1"/>
          </rPr>
          <t xml:space="preserve">
You admit there is no greater mortal authority than resolving needs in love, that when someone resolves their needs in ways resolving the needs of others, they express the highest authority mortally possible. You acknowledge the risk for harm when powerholders prioritize their needs over the relatively less powerful in the name of authority. You further acknowledge this hindering of need-resolving reinforces powerholders’ views that the relatively less powerful must be under the authority of powerholders privileged by impersonal law. You recognize the legitimacy of authority is best earned when all can freely resolve their needs in their incentivized mutual respect for each other, and how such love fulfills the reason authority exists. In short, you humbly admit you fall short of a full love legitimacy.
</t>
        </r>
        <r>
          <rPr>
            <b/>
            <sz val="11"/>
            <color indexed="17"/>
            <rFont val="Tahoma"/>
            <family val="2"/>
          </rPr>
          <t xml:space="preserve">7. </t>
        </r>
        <r>
          <rPr>
            <b/>
            <sz val="11"/>
            <color indexed="58"/>
            <rFont val="Tahoma"/>
            <family val="2"/>
          </rPr>
          <t>Your power accountability</t>
        </r>
        <r>
          <rPr>
            <sz val="10"/>
            <color indexed="81"/>
            <rFont val="Times New Roman"/>
            <family val="1"/>
          </rPr>
          <t xml:space="preserve">
You admit no mortal person nor institution has authority over any individual person’s needs, that the needs themselves exist by the higher authority of nature. You acknowledge powerholders knowingly or unknowingly coerce the relatively less powerful to serve powerholder interests at odds with the needs of the relatively powerless. You further acknowledge impersonal methods to hold powerholders accountable can be abused with little if any consequence to powerholders. You recognize human authority is most legitimate when accountable to its impacts on individual needs in a conciliatory manner. In short, you humbly admit you fall short of a full accountability standard.
</t>
        </r>
        <r>
          <rPr>
            <b/>
            <sz val="11"/>
            <color indexed="17"/>
            <rFont val="Tahoma"/>
            <family val="2"/>
          </rPr>
          <t xml:space="preserve">8. </t>
        </r>
        <r>
          <rPr>
            <b/>
            <sz val="11"/>
            <color indexed="58"/>
            <rFont val="Tahoma"/>
            <family val="2"/>
          </rPr>
          <t>Your support opportunity</t>
        </r>
        <r>
          <rPr>
            <sz val="10"/>
            <color indexed="81"/>
            <rFont val="Times New Roman"/>
            <family val="1"/>
          </rPr>
          <t xml:space="preserve">
You admit there is no such thing as pain apart from unresolved needs, that supporting all sides to an issue to resolve their affected needs remove cause for pain. You acknowledge powerholders needlessly cause pain and harm when hindering the support necessary to resolve needs. You recognize powerholders’ potential to support the relatively less powerful to resolve needs and you recognize as powerholders support the powerless to resolve more of their needs that this creates value for all. In short, you humbly admit you fall short of a full supportive standard.
</t>
        </r>
        <r>
          <rPr>
            <b/>
            <sz val="11"/>
            <color indexed="17"/>
            <rFont val="Tahoma"/>
            <family val="2"/>
          </rPr>
          <t xml:space="preserve">9. </t>
        </r>
        <r>
          <rPr>
            <b/>
            <sz val="11"/>
            <color indexed="58"/>
            <rFont val="Tahoma"/>
            <family val="2"/>
          </rPr>
          <t>Your power responsiveness</t>
        </r>
        <r>
          <rPr>
            <sz val="10"/>
            <color indexed="81"/>
            <rFont val="Times New Roman"/>
            <family val="1"/>
          </rPr>
          <t xml:space="preserve">
You admit “power” is not actually power unless it resolves needs, that otherwise it is merely coercive force. You acknowledge the capacity to influence the beliefs and actions of others can detract from needs, sometimes painfully and even lethally. You recognize the capacity to influence the beliefs and actions of others is best applied toward resolving needs on all sides. In short, you humbly admit you fall short of a full responsive standard.
</t>
        </r>
        <r>
          <rPr>
            <b/>
            <sz val="11"/>
            <color indexed="17"/>
            <rFont val="Tahoma"/>
            <family val="2"/>
          </rPr>
          <t>10.</t>
        </r>
        <r>
          <rPr>
            <b/>
            <sz val="11"/>
            <color indexed="58"/>
            <rFont val="Tahoma"/>
            <family val="2"/>
          </rPr>
          <t xml:space="preserve"> Your impact validation</t>
        </r>
        <r>
          <rPr>
            <sz val="10"/>
            <color indexed="81"/>
            <rFont val="Times New Roman"/>
            <family val="1"/>
          </rPr>
          <t xml:space="preserve">
You admit unresolved needs result in higher rates of mental health deficits, and that the relatively less powerful face many barriers to resolve their needs from the influentially powerful. If powerfully impacting the relatively less powerful, you acknowledge your potential culpability for the prevalence of severe anxiety, major depression, coping addictions, suicidal ideation and acts, and other injurious maladjustments to your damaging power relations. You recognize wellness outcomes can improve the more each other’s needs fully resolve. In short, you humbly admit you fall short of a full impact standard.
</t>
        </r>
        <r>
          <rPr>
            <b/>
            <sz val="14"/>
            <color indexed="20"/>
            <rFont val="Tahoma"/>
            <family val="2"/>
          </rPr>
          <t>Progressive terms</t>
        </r>
        <r>
          <rPr>
            <sz val="10"/>
            <color indexed="81"/>
            <rFont val="Times New Roman"/>
            <family val="1"/>
          </rPr>
          <t xml:space="preserve">
After these terms form the foundation for our relating on a higher standard, another set of need-responsive standards is to build upon these. They do not replace these standards, but will add depth to this new orientation to resolving all power relations impacted needs.
</t>
        </r>
        <r>
          <rPr>
            <b/>
            <sz val="14"/>
            <color indexed="20"/>
            <rFont val="Tahoma"/>
            <family val="2"/>
          </rPr>
          <t>Adjustments to these terms</t>
        </r>
        <r>
          <rPr>
            <sz val="10"/>
            <color indexed="81"/>
            <rFont val="Times New Roman"/>
            <family val="1"/>
          </rPr>
          <t xml:space="preserve">
As needed, these terms may change to fit evolving situations. Being need-responsive requires vigilant understanding of each other’s impacted needs. These terms are provided as only one of many tools to ensure we help each other resolve needs.</t>
        </r>
      </text>
    </comment>
    <comment ref="J912" authorId="0" shapeId="0" xr:uid="{AF63B5B4-4601-44BC-AA4D-21DAADE6985F}">
      <text>
        <r>
          <rPr>
            <b/>
            <sz val="16"/>
            <color indexed="17"/>
            <rFont val="Tahoma"/>
            <family val="2"/>
          </rPr>
          <t>Relating Terms of Exchange</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ASSESS</t>
        </r>
        <r>
          <rPr>
            <sz val="12"/>
            <color indexed="81"/>
            <rFont val="Cambria"/>
            <family val="1"/>
          </rPr>
          <t xml:space="preserve"> – BE INFORMED your responsiveness to our politicized needs is being assessed, measured by the higher standard of demonstrated love, via Harmony Politics. </t>
        </r>
        <r>
          <rPr>
            <b/>
            <sz val="12"/>
            <color indexed="54"/>
            <rFont val="Cambria"/>
            <family val="1"/>
          </rPr>
          <t>Terms of Exchange</t>
        </r>
        <r>
          <rPr>
            <sz val="12"/>
            <color indexed="81"/>
            <rFont val="Cambria"/>
            <family val="1"/>
          </rPr>
          <t xml:space="preserve">. </t>
        </r>
        <r>
          <rPr>
            <sz val="10"/>
            <color indexed="81"/>
            <rFont val="Times New Roman"/>
            <family val="1"/>
          </rPr>
          <t xml:space="preserve">
</t>
        </r>
        <r>
          <rPr>
            <sz val="12"/>
            <color indexed="81"/>
            <rFont val="Cambria"/>
            <family val="1"/>
          </rPr>
          <t>BE NOTIFIED these terms aim to balance the value we contribute to each other in our formal interactions.</t>
        </r>
      </text>
    </comment>
    <comment ref="L912" authorId="0" shapeId="0" xr:uid="{D034CB14-7BF4-4E0B-B418-FB95EF239073}">
      <text>
        <r>
          <rPr>
            <b/>
            <sz val="16"/>
            <color indexed="20"/>
            <rFont val="Tahoma"/>
            <family val="2"/>
          </rPr>
          <t>Relating Terms of Exchange</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set need-responsive standards for ____. </t>
        </r>
        <r>
          <rPr>
            <sz val="10"/>
            <color indexed="81"/>
            <rFont val="Times New Roman"/>
            <family val="1"/>
          </rPr>
          <t xml:space="preserve">
While no one sits above the law, no law sits above the needs it exists to serve. 
</t>
        </r>
        <r>
          <rPr>
            <b/>
            <sz val="10"/>
            <color indexed="81"/>
            <rFont val="Tahoma"/>
            <family val="2"/>
          </rPr>
          <t>Relation to pain</t>
        </r>
        <r>
          <rPr>
            <sz val="10"/>
            <color indexed="81"/>
            <rFont val="Times New Roman"/>
            <family val="1"/>
          </rPr>
          <t xml:space="preserve">
</t>
        </r>
        <r>
          <rPr>
            <b/>
            <sz val="10"/>
            <color indexed="81"/>
            <rFont val="Tahoma"/>
            <family val="2"/>
          </rPr>
          <t>Relation to generalizing</t>
        </r>
        <r>
          <rPr>
            <sz val="10"/>
            <color indexed="81"/>
            <rFont val="Times New Roman"/>
            <family val="1"/>
          </rPr>
          <t xml:space="preserve">
</t>
        </r>
        <r>
          <rPr>
            <b/>
            <sz val="10"/>
            <color indexed="81"/>
            <rFont val="Tahoma"/>
            <family val="2"/>
          </rPr>
          <t>Establishing mutuality</t>
        </r>
        <r>
          <rPr>
            <sz val="10"/>
            <color indexed="81"/>
            <rFont val="Times New Roman"/>
            <family val="1"/>
          </rPr>
          <t xml:space="preserve">
</t>
        </r>
        <r>
          <rPr>
            <b/>
            <sz val="10"/>
            <color indexed="81"/>
            <rFont val="Tahoma"/>
            <family val="2"/>
          </rPr>
          <t>Addressing structural exaction</t>
        </r>
        <r>
          <rPr>
            <sz val="10"/>
            <color indexed="81"/>
            <rFont val="Times New Roman"/>
            <family val="1"/>
          </rPr>
          <t xml:space="preserve">
</t>
        </r>
      </text>
    </comment>
    <comment ref="J916" authorId="0" shapeId="0" xr:uid="{83393C05-5997-456D-A5C0-2F7A6FF5D993}">
      <text>
        <r>
          <rPr>
            <b/>
            <sz val="16"/>
            <color indexed="17"/>
            <rFont val="Tahoma"/>
            <family val="2"/>
          </rPr>
          <t>Relating Terms of Engagement</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AUDIT</t>
        </r>
        <r>
          <rPr>
            <sz val="12"/>
            <color indexed="81"/>
            <rFont val="Cambria"/>
            <family val="1"/>
          </rPr>
          <t xml:space="preserve"> – WE FIND your responsiveness to our politicized needs [RATING LEVEL], as measured by [LOVE-BASED CRITERIA]. [COMMENDATIONS or RECOMMENDATIONS]. </t>
        </r>
        <r>
          <rPr>
            <b/>
            <sz val="12"/>
            <color indexed="54"/>
            <rFont val="Cambria"/>
            <family val="1"/>
          </rPr>
          <t>Terms of Engagement</t>
        </r>
        <r>
          <rPr>
            <sz val="12"/>
            <color indexed="81"/>
            <rFont val="Cambria"/>
            <family val="1"/>
          </rPr>
          <t>.</t>
        </r>
        <r>
          <rPr>
            <sz val="10"/>
            <color indexed="81"/>
            <rFont val="Times New Roman"/>
            <family val="1"/>
          </rPr>
          <t xml:space="preserve">
</t>
        </r>
        <r>
          <rPr>
            <sz val="12"/>
            <color indexed="81"/>
            <rFont val="Cambria"/>
            <family val="1"/>
          </rPr>
          <t>WE ASSERT the universal need to engage each other beyond institutional binary opposites, to ensure a path toward mutual resolution of impacted needs.</t>
        </r>
        <r>
          <rPr>
            <sz val="10"/>
            <color indexed="81"/>
            <rFont val="Times New Roman"/>
            <family val="1"/>
          </rPr>
          <t xml:space="preserve">
</t>
        </r>
      </text>
    </comment>
    <comment ref="L916" authorId="0" shapeId="0" xr:uid="{32994F9A-4186-4ACE-8FA4-F05A0F177145}">
      <text>
        <r>
          <rPr>
            <b/>
            <sz val="16"/>
            <color indexed="20"/>
            <rFont val="Tahoma"/>
            <family val="2"/>
          </rPr>
          <t>Relating Terms of Engagement</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These are my set need-responsive standards for professionally engaging with me.</t>
        </r>
        <r>
          <rPr>
            <sz val="10"/>
            <color indexed="81"/>
            <rFont val="Times New Roman"/>
            <family val="1"/>
          </rPr>
          <t xml:space="preserve"> 
</t>
        </r>
        <r>
          <rPr>
            <b/>
            <sz val="10"/>
            <color indexed="81"/>
            <rFont val="Tahoma"/>
            <family val="2"/>
          </rPr>
          <t>Contested terminology</t>
        </r>
        <r>
          <rPr>
            <sz val="10"/>
            <color indexed="81"/>
            <rFont val="Times New Roman"/>
            <family val="1"/>
          </rPr>
          <t xml:space="preserve">
</t>
        </r>
        <r>
          <rPr>
            <b/>
            <sz val="10"/>
            <color indexed="81"/>
            <rFont val="Tahoma"/>
            <family val="2"/>
          </rPr>
          <t>Generalizing</t>
        </r>
        <r>
          <rPr>
            <sz val="10"/>
            <color indexed="81"/>
            <rFont val="Times New Roman"/>
            <family val="1"/>
          </rPr>
          <t xml:space="preserve">
</t>
        </r>
        <r>
          <rPr>
            <b/>
            <sz val="10"/>
            <color indexed="81"/>
            <rFont val="Tahoma"/>
            <family val="2"/>
          </rPr>
          <t>Power</t>
        </r>
        <r>
          <rPr>
            <sz val="10"/>
            <color indexed="81"/>
            <rFont val="Times New Roman"/>
            <family val="1"/>
          </rPr>
          <t xml:space="preserve">
</t>
        </r>
      </text>
    </comment>
    <comment ref="J920" authorId="0" shapeId="0" xr:uid="{33980155-B68E-4174-B2F2-4691610E5C98}">
      <text>
        <r>
          <rPr>
            <b/>
            <sz val="16"/>
            <color indexed="17"/>
            <rFont val="Tahoma"/>
            <family val="2"/>
          </rPr>
          <t>Relating Terms of Results</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AVOW</t>
        </r>
        <r>
          <rPr>
            <sz val="12"/>
            <color indexed="81"/>
            <rFont val="Cambria"/>
            <family val="1"/>
          </rPr>
          <t xml:space="preserve"> – WE DECLARE the liberty to resolve our PO needs, with or without your cooperation &amp; support, by asserting love to resolve needs of a higher authority than any institutional authority resoling only in relief of pain of unmet mission needs. </t>
        </r>
        <r>
          <rPr>
            <b/>
            <sz val="12"/>
            <color indexed="54"/>
            <rFont val="Cambria"/>
            <family val="1"/>
          </rPr>
          <t>Terms of Results</t>
        </r>
        <r>
          <rPr>
            <sz val="12"/>
            <color indexed="81"/>
            <rFont val="Cambria"/>
            <family val="1"/>
          </rPr>
          <t xml:space="preserve">. </t>
        </r>
        <r>
          <rPr>
            <sz val="10"/>
            <color indexed="81"/>
            <rFont val="Times New Roman"/>
            <family val="1"/>
          </rPr>
          <t xml:space="preserve">
</t>
        </r>
        <r>
          <rPr>
            <sz val="12"/>
            <color indexed="81"/>
            <rFont val="Cambria"/>
            <family val="1"/>
          </rPr>
          <t>WE DECLARE the liberty to resolve needs, to ensure higher functioning and sustainable pain removal, for all aligned to mutual need-responsiveness.</t>
        </r>
      </text>
    </comment>
    <comment ref="L920" authorId="0" shapeId="0" xr:uid="{74C7F1FF-D84E-4D37-8B41-70917F787F32}">
      <text>
        <r>
          <rPr>
            <b/>
            <sz val="16"/>
            <color indexed="20"/>
            <rFont val="Tahoma"/>
            <family val="2"/>
          </rPr>
          <t>Relating Terms of Results</t>
        </r>
        <r>
          <rPr>
            <b/>
            <sz val="16"/>
            <color indexed="81"/>
            <rFont val="Tahoma"/>
            <family val="2"/>
          </rPr>
          <t xml:space="preserve"> </t>
        </r>
        <r>
          <rPr>
            <b/>
            <sz val="16"/>
            <color indexed="55"/>
            <rFont val="Tahoma"/>
            <family val="2"/>
          </rPr>
          <t>(example)</t>
        </r>
        <r>
          <rPr>
            <sz val="9"/>
            <color indexed="55"/>
            <rFont val="Tahoma"/>
            <family val="2"/>
          </rPr>
          <t xml:space="preserve">
</t>
        </r>
        <r>
          <rPr>
            <sz val="11"/>
            <color indexed="81"/>
            <rFont val="Tahoma"/>
            <family val="2"/>
          </rPr>
          <t xml:space="preserve">
</t>
        </r>
        <r>
          <rPr>
            <sz val="11"/>
            <color indexed="81"/>
            <rFont val="Times New Roman"/>
            <family val="1"/>
          </rPr>
          <t xml:space="preserve">These are my need-responsive standards for reaching results that earn legitimacy. </t>
        </r>
        <r>
          <rPr>
            <sz val="10"/>
            <color indexed="81"/>
            <rFont val="Times New Roman"/>
            <family val="1"/>
          </rPr>
          <t xml:space="preserve">
</t>
        </r>
        <r>
          <rPr>
            <b/>
            <sz val="10"/>
            <color indexed="81"/>
            <rFont val="Arial"/>
            <family val="2"/>
          </rPr>
          <t xml:space="preserve">
</t>
        </r>
        <r>
          <rPr>
            <b/>
            <sz val="10"/>
            <color indexed="58"/>
            <rFont val="Arial"/>
            <family val="2"/>
          </rPr>
          <t>1. Scientific legitimacy</t>
        </r>
        <r>
          <rPr>
            <sz val="10"/>
            <color indexed="81"/>
            <rFont val="Times New Roman"/>
            <family val="1"/>
          </rPr>
          <t xml:space="preserve">
</t>
        </r>
        <r>
          <rPr>
            <b/>
            <sz val="10"/>
            <color indexed="58"/>
            <rFont val="Arial"/>
            <family val="2"/>
          </rPr>
          <t>2. Democratic legitimacy</t>
        </r>
        <r>
          <rPr>
            <sz val="10"/>
            <color indexed="81"/>
            <rFont val="Times New Roman"/>
            <family val="1"/>
          </rPr>
          <t xml:space="preserve">
</t>
        </r>
        <r>
          <rPr>
            <b/>
            <sz val="10"/>
            <color indexed="58"/>
            <rFont val="Arial"/>
            <family val="2"/>
          </rPr>
          <t>3. Constitutional legitimacy</t>
        </r>
        <r>
          <rPr>
            <sz val="10"/>
            <color indexed="81"/>
            <rFont val="Times New Roman"/>
            <family val="1"/>
          </rPr>
          <t xml:space="preserve">
</t>
        </r>
        <r>
          <rPr>
            <b/>
            <sz val="10"/>
            <color indexed="58"/>
            <rFont val="Arial"/>
            <family val="2"/>
          </rPr>
          <t>4. Scriptural legitimacy</t>
        </r>
        <r>
          <rPr>
            <sz val="10"/>
            <color indexed="81"/>
            <rFont val="Times New Roman"/>
            <family val="1"/>
          </rPr>
          <t xml:space="preserve">
</t>
        </r>
        <r>
          <rPr>
            <b/>
            <sz val="10"/>
            <color indexed="58"/>
            <rFont val="Arial"/>
            <family val="2"/>
          </rPr>
          <t>5. Wisdom legitimacy</t>
        </r>
        <r>
          <rPr>
            <sz val="10"/>
            <color indexed="81"/>
            <rFont val="Times New Roman"/>
            <family val="1"/>
          </rPr>
          <t xml:space="preserve">
</t>
        </r>
        <r>
          <rPr>
            <b/>
            <sz val="10"/>
            <color indexed="58"/>
            <rFont val="Arial"/>
            <family val="2"/>
          </rPr>
          <t>6. Love legitimacy</t>
        </r>
        <r>
          <rPr>
            <sz val="10"/>
            <color indexed="81"/>
            <rFont val="Times New Roman"/>
            <family val="1"/>
          </rPr>
          <t xml:space="preserve">
If you fail to prioritize my needs on par with my capacity to prioritize your needs, 
</t>
        </r>
        <r>
          <rPr>
            <b/>
            <sz val="10"/>
            <color indexed="58"/>
            <rFont val="Arial"/>
            <family val="2"/>
          </rPr>
          <t>7. Accountability standard</t>
        </r>
        <r>
          <rPr>
            <sz val="10"/>
            <color indexed="81"/>
            <rFont val="Times New Roman"/>
            <family val="1"/>
          </rPr>
          <t xml:space="preserve">
</t>
        </r>
        <r>
          <rPr>
            <b/>
            <sz val="10"/>
            <color indexed="58"/>
            <rFont val="Arial"/>
            <family val="2"/>
          </rPr>
          <t>8. Supportive standard</t>
        </r>
        <r>
          <rPr>
            <sz val="10"/>
            <color indexed="81"/>
            <rFont val="Times New Roman"/>
            <family val="1"/>
          </rPr>
          <t xml:space="preserve"> 
</t>
        </r>
        <r>
          <rPr>
            <b/>
            <sz val="10"/>
            <color indexed="58"/>
            <rFont val="Arial"/>
            <family val="2"/>
          </rPr>
          <t>9. Responsive standard</t>
        </r>
        <r>
          <rPr>
            <sz val="10"/>
            <color indexed="81"/>
            <rFont val="Times New Roman"/>
            <family val="1"/>
          </rPr>
          <t xml:space="preserve">
</t>
        </r>
        <r>
          <rPr>
            <b/>
            <sz val="10"/>
            <color indexed="58"/>
            <rFont val="Arial"/>
            <family val="2"/>
          </rPr>
          <t>10. Impact standard</t>
        </r>
        <r>
          <rPr>
            <sz val="10"/>
            <color indexed="81"/>
            <rFont val="Times New Roman"/>
            <family val="1"/>
          </rPr>
          <t xml:space="preserve">
low = coercive pressures result in raising my anxiety, deepening my depression, pulling me towards addiction as the only perceivable means to cope with the pain;
</t>
        </r>
      </text>
    </comment>
    <comment ref="J924" authorId="0" shapeId="0" xr:uid="{4A906264-A7E5-4BE8-A5C6-800727A9C40D}">
      <text>
        <r>
          <rPr>
            <b/>
            <sz val="16"/>
            <color indexed="17"/>
            <rFont val="Tahoma"/>
            <family val="2"/>
          </rPr>
          <t>Relating Terms of Use</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ACCLAIM</t>
        </r>
        <r>
          <rPr>
            <sz val="12"/>
            <color indexed="81"/>
            <rFont val="Cambria"/>
            <family val="1"/>
          </rPr>
          <t xml:space="preserve"> – WE ESTABLISH this conciliatory process to mutually respect and resolve each other’s affected needs, and systemically exclude any effort to detract from this higher authority of love. </t>
        </r>
        <r>
          <rPr>
            <b/>
            <sz val="12"/>
            <color indexed="54"/>
            <rFont val="Cambria"/>
            <family val="1"/>
          </rPr>
          <t>Terms of Use</t>
        </r>
        <r>
          <rPr>
            <sz val="12"/>
            <color indexed="81"/>
            <rFont val="Cambria"/>
            <family val="1"/>
          </rPr>
          <t xml:space="preserve">. </t>
        </r>
        <r>
          <rPr>
            <sz val="10"/>
            <color indexed="81"/>
            <rFont val="Times New Roman"/>
            <family val="1"/>
          </rPr>
          <t xml:space="preserve">
</t>
        </r>
        <r>
          <rPr>
            <sz val="12"/>
            <color indexed="81"/>
            <rFont val="Cambria"/>
            <family val="1"/>
          </rPr>
          <t>WE ESTABLISH the terms to ensure needs can resolve with the value we now formally offer.</t>
        </r>
      </text>
    </comment>
    <comment ref="L924" authorId="0" shapeId="0" xr:uid="{D035F5A0-AF18-4636-8E7D-2CA3332B6245}">
      <text>
        <r>
          <rPr>
            <b/>
            <sz val="16"/>
            <color indexed="20"/>
            <rFont val="Tahoma"/>
            <family val="2"/>
          </rPr>
          <t>Relating Terms of Use</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need-responsive standards for utilizing the value I create for you and others. </t>
        </r>
        <r>
          <rPr>
            <sz val="10"/>
            <color indexed="81"/>
            <rFont val="Times New Roman"/>
            <family val="1"/>
          </rPr>
          <t xml:space="preserve">
</t>
        </r>
        <r>
          <rPr>
            <b/>
            <sz val="10"/>
            <color indexed="81"/>
            <rFont val="Tahoma"/>
            <family val="2"/>
          </rPr>
          <t>Heading</t>
        </r>
        <r>
          <rPr>
            <sz val="10"/>
            <color indexed="81"/>
            <rFont val="Times New Roman"/>
            <family val="1"/>
          </rPr>
          <t xml:space="preserve">
</t>
        </r>
        <r>
          <rPr>
            <b/>
            <sz val="10"/>
            <color indexed="81"/>
            <rFont val="Tahoma"/>
            <family val="2"/>
          </rPr>
          <t>Heading</t>
        </r>
        <r>
          <rPr>
            <sz val="10"/>
            <color indexed="81"/>
            <rFont val="Times New Roman"/>
            <family val="1"/>
          </rPr>
          <t xml:space="preserve">
</t>
        </r>
        <r>
          <rPr>
            <b/>
            <sz val="10"/>
            <color indexed="81"/>
            <rFont val="Tahoma"/>
            <family val="2"/>
          </rPr>
          <t>Heading</t>
        </r>
        <r>
          <rPr>
            <sz val="10"/>
            <color indexed="81"/>
            <rFont val="Times New Roman"/>
            <family val="1"/>
          </rPr>
          <t xml:space="preserve">
</t>
        </r>
      </text>
    </comment>
    <comment ref="AB932" authorId="0" shapeId="0" xr:uid="{E175AF2C-79B1-4081-9D7A-6D21A14B518F}">
      <text/>
    </comment>
    <comment ref="F938" authorId="0" shapeId="0" xr:uid="{02A286EE-103A-4B99-B6D2-6FC3AAB54B47}">
      <text>
        <r>
          <rPr>
            <b/>
            <sz val="14"/>
            <color indexed="81"/>
            <rFont val="Tahoma"/>
            <family val="2"/>
          </rPr>
          <t>Passion level</t>
        </r>
        <r>
          <rPr>
            <b/>
            <i/>
            <sz val="14"/>
            <color indexed="81"/>
            <rFont val="Tahoma"/>
            <family val="2"/>
          </rPr>
          <t xml:space="preserve"> to resolve underserved needs</t>
        </r>
        <r>
          <rPr>
            <sz val="9"/>
            <color indexed="81"/>
            <rFont val="Tahoma"/>
            <family val="2"/>
          </rPr>
          <t xml:space="preserve">
</t>
        </r>
        <r>
          <rPr>
            <b/>
            <sz val="10"/>
            <color indexed="81"/>
            <rFont val="Tahoma"/>
            <family val="2"/>
          </rPr>
          <t>none</t>
        </r>
        <r>
          <rPr>
            <sz val="10"/>
            <color indexed="81"/>
            <rFont val="Tahoma"/>
            <family val="2"/>
          </rPr>
          <t xml:space="preserve"> = no thought yet for solving a problem created largely by others.
</t>
        </r>
        <r>
          <rPr>
            <b/>
            <sz val="10"/>
            <color indexed="81"/>
            <rFont val="Tahoma"/>
            <family val="2"/>
          </rPr>
          <t>low</t>
        </r>
        <r>
          <rPr>
            <sz val="10"/>
            <color indexed="81"/>
            <rFont val="Tahoma"/>
            <family val="2"/>
          </rPr>
          <t xml:space="preserve"> = some regard for solving this need for myself and others similarly situated.
</t>
        </r>
        <r>
          <rPr>
            <b/>
            <sz val="10"/>
            <color indexed="81"/>
            <rFont val="Tahoma"/>
            <family val="2"/>
          </rPr>
          <t>moderate</t>
        </r>
        <r>
          <rPr>
            <sz val="10"/>
            <color indexed="81"/>
            <rFont val="Tahoma"/>
            <family val="2"/>
          </rPr>
          <t xml:space="preserve"> = growing interest in solving this for myself and others similarly situated.
</t>
        </r>
        <r>
          <rPr>
            <b/>
            <sz val="10"/>
            <color indexed="81"/>
            <rFont val="Tahoma"/>
            <family val="2"/>
          </rPr>
          <t>high</t>
        </r>
        <r>
          <rPr>
            <sz val="10"/>
            <color indexed="81"/>
            <rFont val="Tahoma"/>
            <family val="2"/>
          </rPr>
          <t xml:space="preserve"> = intense interest in solvinng this for myself and others similarly situated.
</t>
        </r>
        <r>
          <rPr>
            <b/>
            <sz val="10"/>
            <color indexed="81"/>
            <rFont val="Tahoma"/>
            <family val="2"/>
          </rPr>
          <t>existential</t>
        </r>
        <r>
          <rPr>
            <sz val="10"/>
            <color indexed="81"/>
            <rFont val="Tahoma"/>
            <family val="2"/>
          </rPr>
          <t xml:space="preserve"> = your consuming purpose in life.</t>
        </r>
      </text>
    </comment>
    <comment ref="AB940" authorId="0" shapeId="0" xr:uid="{28AE6B12-DA76-4425-8A4C-3B4AA8F2CCA7}">
      <text/>
    </comment>
    <comment ref="B943" authorId="0" shapeId="0" xr:uid="{ECB7EBF2-F3D9-4626-8D55-8328E06F594B}">
      <text>
        <r>
          <rPr>
            <b/>
            <sz val="14"/>
            <color indexed="20"/>
            <rFont val="Tahoma"/>
            <family val="2"/>
          </rPr>
          <t>Defunction</t>
        </r>
        <r>
          <rPr>
            <sz val="14"/>
            <color indexed="20"/>
            <rFont val="Tahoma"/>
            <family val="2"/>
          </rPr>
          <t xml:space="preserve">: </t>
        </r>
        <r>
          <rPr>
            <sz val="12"/>
            <color indexed="20"/>
            <rFont val="Tahoma"/>
            <family val="2"/>
          </rPr>
          <t xml:space="preserve">a </t>
        </r>
        <r>
          <rPr>
            <i/>
            <sz val="12"/>
            <color indexed="20"/>
            <rFont val="Tahoma"/>
            <family val="2"/>
          </rPr>
          <t>defunction</t>
        </r>
        <r>
          <rPr>
            <sz val="12"/>
            <color indexed="20"/>
            <rFont val="Tahoma"/>
            <family val="2"/>
          </rPr>
          <t xml:space="preserve"> is the anankelogy term for something lowering a level of functioning capacity, due to one or more unresolve needs.
</t>
        </r>
        <r>
          <rPr>
            <b/>
            <sz val="14"/>
            <color indexed="20"/>
            <rFont val="Tahoma"/>
            <family val="2"/>
          </rPr>
          <t xml:space="preserve">
Defunctions List</t>
        </r>
        <r>
          <rPr>
            <sz val="9"/>
            <color indexed="81"/>
            <rFont val="Tahoma"/>
            <family val="2"/>
          </rPr>
          <t xml:space="preserve">
</t>
        </r>
        <r>
          <rPr>
            <sz val="10"/>
            <color indexed="23"/>
            <rFont val="Tahoma"/>
            <family val="2"/>
          </rPr>
          <t xml:space="preserve">
</t>
        </r>
        <r>
          <rPr>
            <b/>
            <sz val="11"/>
            <color indexed="23"/>
            <rFont val="Tahoma"/>
            <family val="2"/>
          </rPr>
          <t>structural exaction</t>
        </r>
        <r>
          <rPr>
            <sz val="11"/>
            <color indexed="23"/>
            <rFont val="Tahoma"/>
            <family val="2"/>
          </rPr>
          <t xml:space="preserve"> is when a power relation legally coerces the powerless side to involuntarily transfer something of value to the powerful side, without accountably allowing for impacted needs to resolve, whether either side in a power relation is aware of this coercion or not.
</t>
        </r>
        <r>
          <rPr>
            <b/>
            <sz val="11"/>
            <color indexed="23"/>
            <rFont val="Tahoma"/>
            <family val="2"/>
          </rPr>
          <t>nonaccountable influence</t>
        </r>
        <r>
          <rPr>
            <sz val="11"/>
            <color indexed="23"/>
            <rFont val="Tahoma"/>
            <family val="2"/>
          </rPr>
          <t xml:space="preserve"> is exacting social pressure on others, typically those more vulnerable for lack of resources, without having to answer for their negative impacts.
</t>
        </r>
        <r>
          <rPr>
            <b/>
            <sz val="11"/>
            <color indexed="23"/>
            <rFont val="Tahoma"/>
            <family val="2"/>
          </rPr>
          <t>privileged coercive power</t>
        </r>
        <r>
          <rPr>
            <sz val="11"/>
            <color indexed="23"/>
            <rFont val="Tahoma"/>
            <family val="2"/>
          </rPr>
          <t xml:space="preserve"> is manipulation or exploitation of others with less social power under sanction of social norms or cover of law. This applies when it results in hindering the socially less powerful to resolve their needs, or steer clear of avoidable needs.
</t>
        </r>
        <r>
          <rPr>
            <b/>
            <sz val="11"/>
            <color indexed="23"/>
            <rFont val="Tahoma"/>
            <family val="2"/>
          </rPr>
          <t>rationalized systemic failure</t>
        </r>
        <r>
          <rPr>
            <sz val="11"/>
            <color indexed="23"/>
            <rFont val="Tahoma"/>
            <family val="2"/>
          </rPr>
          <t xml:space="preserve"> refers to uncritical justification of mass institutions that systemically fail to serve its mission needs.
</t>
        </r>
        <r>
          <rPr>
            <b/>
            <sz val="11"/>
            <color indexed="23"/>
            <rFont val="Tahoma"/>
            <family val="2"/>
          </rPr>
          <t>mass institution mission creep</t>
        </r>
        <r>
          <rPr>
            <sz val="11"/>
            <color indexed="23"/>
            <rFont val="Tahoma"/>
            <family val="2"/>
          </rPr>
          <t xml:space="preserve"> recognizes the tendency of our largest institutions to shift away from its founding purpose, and slide toward whatever helps keep it going.
</t>
        </r>
        <r>
          <rPr>
            <b/>
            <sz val="11"/>
            <color indexed="23"/>
            <rFont val="Tahoma"/>
            <family val="2"/>
          </rPr>
          <t>imposing authority</t>
        </r>
        <r>
          <rPr>
            <sz val="11"/>
            <color indexed="23"/>
            <rFont val="Tahoma"/>
            <family val="2"/>
          </rPr>
          <t xml:space="preserve"> is the imposition of legally or normatively privileged use of force in ways that undercut resolving of needs, or provokes avoidable needs.</t>
        </r>
        <r>
          <rPr>
            <sz val="10"/>
            <color indexed="23"/>
            <rFont val="Tahoma"/>
            <family val="2"/>
          </rPr>
          <t xml:space="preserve">
</t>
        </r>
      </text>
    </comment>
    <comment ref="B944" authorId="0" shapeId="0" xr:uid="{52DA8D95-EC52-4A43-9309-8DDFBF702A54}">
      <text>
        <r>
          <rPr>
            <b/>
            <sz val="12"/>
            <color indexed="20"/>
            <rFont val="Tahoma"/>
            <family val="2"/>
          </rPr>
          <t>RI 1</t>
        </r>
        <r>
          <rPr>
            <sz val="12"/>
            <color indexed="20"/>
            <rFont val="Tahoma"/>
            <family val="2"/>
          </rPr>
          <t xml:space="preserve">: </t>
        </r>
        <r>
          <rPr>
            <b/>
            <sz val="12"/>
            <color indexed="20"/>
            <rFont val="Tahoma"/>
            <family val="2"/>
          </rPr>
          <t>Anxiety level</t>
        </r>
        <r>
          <rPr>
            <sz val="9"/>
            <color indexed="81"/>
            <rFont val="Tahoma"/>
            <family val="2"/>
          </rPr>
          <t xml:space="preserve">
</t>
        </r>
        <r>
          <rPr>
            <sz val="11"/>
            <color indexed="81"/>
            <rFont val="Tahoma"/>
            <family val="2"/>
          </rPr>
          <t xml:space="preserve">When visualizing yourself facing this Ascribed Impactor, how much anxiety do you experience?
</t>
        </r>
        <r>
          <rPr>
            <sz val="9"/>
            <color indexed="81"/>
            <rFont val="Tahoma"/>
            <family val="2"/>
          </rPr>
          <t xml:space="preserve">
</t>
        </r>
        <r>
          <rPr>
            <b/>
            <sz val="10"/>
            <color indexed="81"/>
            <rFont val="Tahoma"/>
            <family val="2"/>
          </rPr>
          <t>no anxiety</t>
        </r>
        <r>
          <rPr>
            <sz val="10"/>
            <color indexed="81"/>
            <rFont val="Tahoma"/>
            <family val="2"/>
          </rPr>
          <t xml:space="preserve">: uncertainty of threats handled in ways building your courage
</t>
        </r>
        <r>
          <rPr>
            <b/>
            <sz val="10"/>
            <color indexed="81"/>
            <rFont val="Tahoma"/>
            <family val="2"/>
          </rPr>
          <t>low anxiety</t>
        </r>
        <r>
          <rPr>
            <sz val="10"/>
            <color indexed="81"/>
            <rFont val="Tahoma"/>
            <family val="2"/>
          </rPr>
          <t xml:space="preserve">: vigilant to threats you remain unsure you can handle
</t>
        </r>
        <r>
          <rPr>
            <b/>
            <sz val="10"/>
            <color indexed="81"/>
            <rFont val="Tahoma"/>
            <family val="2"/>
          </rPr>
          <t>moderate anxiety</t>
        </r>
        <r>
          <rPr>
            <sz val="10"/>
            <color indexed="81"/>
            <rFont val="Tahoma"/>
            <family val="2"/>
          </rPr>
          <t xml:space="preserve">: hypervigilant to threats not easily handled
</t>
        </r>
        <r>
          <rPr>
            <b/>
            <sz val="10"/>
            <color indexed="81"/>
            <rFont val="Tahoma"/>
            <family val="2"/>
          </rPr>
          <t>severe anxiety</t>
        </r>
        <r>
          <rPr>
            <sz val="10"/>
            <color indexed="81"/>
            <rFont val="Tahoma"/>
            <family val="2"/>
          </rPr>
          <t xml:space="preserve">: obsessed by situations you cannot handle
</t>
        </r>
        <r>
          <rPr>
            <b/>
            <sz val="10"/>
            <color indexed="81"/>
            <rFont val="Tahoma"/>
            <family val="2"/>
          </rPr>
          <t>panic</t>
        </r>
        <r>
          <rPr>
            <sz val="10"/>
            <color indexed="81"/>
            <rFont val="Tahoma"/>
            <family val="2"/>
          </rPr>
          <t>: overwhelmed by threatening situations you cannot handle</t>
        </r>
      </text>
    </comment>
    <comment ref="B945" authorId="0" shapeId="0" xr:uid="{8D8B0AA0-936C-4273-A4C4-E9FE143A2133}">
      <text>
        <r>
          <rPr>
            <b/>
            <sz val="12"/>
            <color indexed="20"/>
            <rFont val="Tahoma"/>
            <family val="2"/>
          </rPr>
          <t>RI 2</t>
        </r>
        <r>
          <rPr>
            <sz val="12"/>
            <color indexed="20"/>
            <rFont val="Tahoma"/>
            <family val="2"/>
          </rPr>
          <t xml:space="preserve">: </t>
        </r>
        <r>
          <rPr>
            <b/>
            <sz val="12"/>
            <color indexed="20"/>
            <rFont val="Tahoma"/>
            <family val="2"/>
          </rPr>
          <t>Depression level</t>
        </r>
        <r>
          <rPr>
            <sz val="9"/>
            <color indexed="81"/>
            <rFont val="Tahoma"/>
            <family val="2"/>
          </rPr>
          <t xml:space="preserve">
</t>
        </r>
        <r>
          <rPr>
            <sz val="11"/>
            <color indexed="81"/>
            <rFont val="Tahoma"/>
            <family val="2"/>
          </rPr>
          <t xml:space="preserve">When visualizing yourself stuck in this power relation with this Ascribed Impactor, how depressed do you feel?
</t>
        </r>
        <r>
          <rPr>
            <sz val="9"/>
            <color indexed="81"/>
            <rFont val="Tahoma"/>
            <family val="2"/>
          </rPr>
          <t xml:space="preserve">
</t>
        </r>
        <r>
          <rPr>
            <b/>
            <sz val="10"/>
            <color indexed="81"/>
            <rFont val="Tahoma"/>
            <family val="2"/>
          </rPr>
          <t>no depression</t>
        </r>
        <r>
          <rPr>
            <sz val="10"/>
            <color indexed="81"/>
            <rFont val="Tahoma"/>
            <family val="2"/>
          </rPr>
          <t xml:space="preserve">: you can still retain your full level of energy and focus
</t>
        </r>
        <r>
          <rPr>
            <b/>
            <sz val="10"/>
            <color indexed="81"/>
            <rFont val="Tahoma"/>
            <family val="2"/>
          </rPr>
          <t>low depression</t>
        </r>
        <r>
          <rPr>
            <sz val="10"/>
            <color indexed="81"/>
            <rFont val="Tahoma"/>
            <family val="2"/>
          </rPr>
          <t xml:space="preserve">: you start losing some focus and begin experiencing less energy
</t>
        </r>
        <r>
          <rPr>
            <b/>
            <sz val="10"/>
            <color indexed="81"/>
            <rFont val="Tahoma"/>
            <family val="2"/>
          </rPr>
          <t>moderate depression</t>
        </r>
        <r>
          <rPr>
            <sz val="10"/>
            <color indexed="81"/>
            <rFont val="Tahoma"/>
            <family val="2"/>
          </rPr>
          <t xml:space="preserve">: you have trouble concentrating and feel mounting fatigue
</t>
        </r>
        <r>
          <rPr>
            <b/>
            <sz val="10"/>
            <color indexed="81"/>
            <rFont val="Tahoma"/>
            <family val="2"/>
          </rPr>
          <t>severe depression</t>
        </r>
        <r>
          <rPr>
            <sz val="10"/>
            <color indexed="81"/>
            <rFont val="Tahoma"/>
            <family val="2"/>
          </rPr>
          <t xml:space="preserve">: you constantly feel restless and unfocused, drained of most energy
</t>
        </r>
        <r>
          <rPr>
            <b/>
            <sz val="10"/>
            <color indexed="81"/>
            <rFont val="Tahoma"/>
            <family val="2"/>
          </rPr>
          <t>major depression</t>
        </r>
        <r>
          <rPr>
            <sz val="10"/>
            <color indexed="81"/>
            <rFont val="Tahoma"/>
            <family val="2"/>
          </rPr>
          <t>: you continually feel intense pain and think of killing yourself for relief</t>
        </r>
      </text>
    </comment>
    <comment ref="B946" authorId="0" shapeId="0" xr:uid="{ECF8FA5C-F18B-4B10-84C2-C29497FEA69C}">
      <text>
        <r>
          <rPr>
            <b/>
            <sz val="12"/>
            <color indexed="20"/>
            <rFont val="Tahoma"/>
            <family val="2"/>
          </rPr>
          <t>RI 3</t>
        </r>
        <r>
          <rPr>
            <sz val="12"/>
            <color indexed="20"/>
            <rFont val="Tahoma"/>
            <family val="2"/>
          </rPr>
          <t xml:space="preserve">: </t>
        </r>
        <r>
          <rPr>
            <b/>
            <sz val="12"/>
            <color indexed="20"/>
            <rFont val="Tahoma"/>
            <family val="2"/>
          </rPr>
          <t>Addiction</t>
        </r>
        <r>
          <rPr>
            <sz val="9"/>
            <color indexed="81"/>
            <rFont val="Tahoma"/>
            <family val="2"/>
          </rPr>
          <t xml:space="preserve">
</t>
        </r>
        <r>
          <rPr>
            <sz val="11"/>
            <color indexed="81"/>
            <rFont val="Tahoma"/>
            <family val="2"/>
          </rPr>
          <t xml:space="preserve">Do you cope with external pressures from powerful others with something you trust will take your mind off the troubling pain, either now or in the past?
</t>
        </r>
        <r>
          <rPr>
            <sz val="9"/>
            <color indexed="81"/>
            <rFont val="Tahoma"/>
            <family val="2"/>
          </rPr>
          <t xml:space="preserve">
</t>
        </r>
        <r>
          <rPr>
            <b/>
            <sz val="10"/>
            <color indexed="81"/>
            <rFont val="Tahoma"/>
            <family val="2"/>
          </rPr>
          <t>no addiction</t>
        </r>
        <r>
          <rPr>
            <sz val="10"/>
            <color indexed="81"/>
            <rFont val="Tahoma"/>
            <family val="2"/>
          </rPr>
          <t xml:space="preserve">: no, I endure the pain without any mood altering substance or activity
</t>
        </r>
        <r>
          <rPr>
            <b/>
            <sz val="10"/>
            <color indexed="81"/>
            <rFont val="Tahoma"/>
            <family val="2"/>
          </rPr>
          <t>first use</t>
        </r>
        <r>
          <rPr>
            <sz val="10"/>
            <color indexed="81"/>
            <rFont val="Tahoma"/>
            <family val="2"/>
          </rPr>
          <t xml:space="preserve">: I have tried something I find eases the pain, at least for a while
</t>
        </r>
        <r>
          <rPr>
            <b/>
            <sz val="10"/>
            <color indexed="81"/>
            <rFont val="Tahoma"/>
            <family val="2"/>
          </rPr>
          <t>regular use</t>
        </r>
        <r>
          <rPr>
            <sz val="10"/>
            <color indexed="81"/>
            <rFont val="Tahoma"/>
            <family val="2"/>
          </rPr>
          <t xml:space="preserve">: I regularly use something to ease the pain of external pressures
</t>
        </r>
        <r>
          <rPr>
            <b/>
            <sz val="10"/>
            <color indexed="81"/>
            <rFont val="Tahoma"/>
            <family val="2"/>
          </rPr>
          <t>risky use</t>
        </r>
        <r>
          <rPr>
            <sz val="10"/>
            <color indexed="81"/>
            <rFont val="Tahoma"/>
            <family val="2"/>
          </rPr>
          <t xml:space="preserve">: I regularly ease the pain to the point of disinhibiting my usual precautions
</t>
        </r>
        <r>
          <rPr>
            <b/>
            <sz val="10"/>
            <color indexed="81"/>
            <rFont val="Tahoma"/>
            <family val="2"/>
          </rPr>
          <t>dependency</t>
        </r>
        <r>
          <rPr>
            <sz val="10"/>
            <color indexed="81"/>
            <rFont val="Tahoma"/>
            <family val="2"/>
          </rPr>
          <t xml:space="preserve">: I use more and more of these things to relieve pain from external pressures
</t>
        </r>
        <r>
          <rPr>
            <b/>
            <sz val="10"/>
            <color indexed="81"/>
            <rFont val="Tahoma"/>
            <family val="2"/>
          </rPr>
          <t>full addiction</t>
        </r>
        <r>
          <rPr>
            <sz val="10"/>
            <color indexed="81"/>
            <rFont val="Tahoma"/>
            <family val="2"/>
          </rPr>
          <t>: I cannot function while I constantly seek relief from painful pressures</t>
        </r>
      </text>
    </comment>
    <comment ref="B947" authorId="0" shapeId="0" xr:uid="{2E1FDCA0-6B52-4FBD-AD6C-D8B647753AE0}">
      <text>
        <r>
          <rPr>
            <b/>
            <sz val="12"/>
            <color indexed="20"/>
            <rFont val="Tahoma"/>
            <family val="2"/>
          </rPr>
          <t>RI 3</t>
        </r>
        <r>
          <rPr>
            <sz val="12"/>
            <color indexed="20"/>
            <rFont val="Tahoma"/>
            <family val="2"/>
          </rPr>
          <t xml:space="preserve">: </t>
        </r>
        <r>
          <rPr>
            <b/>
            <sz val="12"/>
            <color indexed="20"/>
            <rFont val="Tahoma"/>
            <family val="2"/>
          </rPr>
          <t>Anger level</t>
        </r>
        <r>
          <rPr>
            <sz val="9"/>
            <color indexed="81"/>
            <rFont val="Tahoma"/>
            <family val="2"/>
          </rPr>
          <t xml:space="preserve">
</t>
        </r>
        <r>
          <rPr>
            <sz val="11"/>
            <color indexed="81"/>
            <rFont val="Tahoma"/>
            <family val="2"/>
          </rPr>
          <t xml:space="preserve">When visualizing yourself stuck in this power relation with this Ascribed Impactor, how angry do you feel?
</t>
        </r>
        <r>
          <rPr>
            <sz val="9"/>
            <color indexed="81"/>
            <rFont val="Tahoma"/>
            <family val="2"/>
          </rPr>
          <t xml:space="preserve">
</t>
        </r>
        <r>
          <rPr>
            <b/>
            <sz val="10"/>
            <color indexed="81"/>
            <rFont val="Tahoma"/>
            <family val="2"/>
          </rPr>
          <t>no anger</t>
        </r>
        <r>
          <rPr>
            <sz val="10"/>
            <color indexed="81"/>
            <rFont val="Tahoma"/>
            <family val="2"/>
          </rPr>
          <t xml:space="preserve">: I do not feel it is a threat that I cannot accept
</t>
        </r>
        <r>
          <rPr>
            <b/>
            <sz val="10"/>
            <color indexed="81"/>
            <rFont val="Tahoma"/>
            <family val="2"/>
          </rPr>
          <t>mild irritation</t>
        </r>
        <r>
          <rPr>
            <sz val="10"/>
            <color indexed="81"/>
            <rFont val="Tahoma"/>
            <family val="2"/>
          </rPr>
          <t xml:space="preserve">: I feel it is a tolerable threat I prefer not to accept
</t>
        </r>
        <r>
          <rPr>
            <b/>
            <sz val="10"/>
            <color indexed="81"/>
            <rFont val="Tahoma"/>
            <family val="2"/>
          </rPr>
          <t>moderate irritation</t>
        </r>
        <r>
          <rPr>
            <sz val="10"/>
            <color indexed="81"/>
            <rFont val="Tahoma"/>
            <family val="2"/>
          </rPr>
          <t xml:space="preserve">: I feel the pressures as a threat I must wholeheartedly reject.
</t>
        </r>
        <r>
          <rPr>
            <b/>
            <sz val="10"/>
            <color indexed="81"/>
            <rFont val="Tahoma"/>
            <family val="2"/>
          </rPr>
          <t>constant anger</t>
        </r>
        <r>
          <rPr>
            <sz val="10"/>
            <color indexed="81"/>
            <rFont val="Tahoma"/>
            <family val="2"/>
          </rPr>
          <t xml:space="preserve">: I continually must reject the painful pressures of this power relation 
</t>
        </r>
        <r>
          <rPr>
            <b/>
            <sz val="10"/>
            <color indexed="81"/>
            <rFont val="Tahoma"/>
            <family val="2"/>
          </rPr>
          <t>overwhelming rage</t>
        </r>
        <r>
          <rPr>
            <sz val="10"/>
            <color indexed="81"/>
            <rFont val="Tahoma"/>
            <family val="2"/>
          </rPr>
          <t>: I hold myself back from lashing out, or I have lashed out at others</t>
        </r>
        <r>
          <rPr>
            <sz val="9"/>
            <color indexed="81"/>
            <rFont val="Tahoma"/>
            <family val="2"/>
          </rPr>
          <t xml:space="preserve">
</t>
        </r>
      </text>
    </comment>
    <comment ref="B948" authorId="0" shapeId="0" xr:uid="{0A8AB299-C025-4EE6-8275-D6CD3F03D4FE}">
      <text>
        <r>
          <rPr>
            <b/>
            <sz val="12"/>
            <color indexed="20"/>
            <rFont val="Tahoma"/>
            <family val="2"/>
          </rPr>
          <t>RI 5</t>
        </r>
        <r>
          <rPr>
            <sz val="12"/>
            <color indexed="20"/>
            <rFont val="Tahoma"/>
            <family val="2"/>
          </rPr>
          <t xml:space="preserve">: </t>
        </r>
        <r>
          <rPr>
            <b/>
            <sz val="12"/>
            <color indexed="20"/>
            <rFont val="Tahoma"/>
            <family val="2"/>
          </rPr>
          <t>Hopelessness</t>
        </r>
        <r>
          <rPr>
            <sz val="9"/>
            <color indexed="81"/>
            <rFont val="Tahoma"/>
            <family val="2"/>
          </rPr>
          <t xml:space="preserve">
</t>
        </r>
        <r>
          <rPr>
            <sz val="11"/>
            <color indexed="81"/>
            <rFont val="Tahoma"/>
            <family val="2"/>
          </rPr>
          <t xml:space="preserve">When thinking about the impact from this power relation or this Ascribed Impactor, how hopeful or hopeless do you feel? 
</t>
        </r>
        <r>
          <rPr>
            <sz val="9"/>
            <color indexed="81"/>
            <rFont val="Tahoma"/>
            <family val="2"/>
          </rPr>
          <t xml:space="preserve">
</t>
        </r>
        <r>
          <rPr>
            <b/>
            <sz val="10"/>
            <color indexed="81"/>
            <rFont val="Tahoma"/>
            <family val="2"/>
          </rPr>
          <t>no hopelessnes</t>
        </r>
        <r>
          <rPr>
            <sz val="10"/>
            <color indexed="81"/>
            <rFont val="Tahoma"/>
            <family val="2"/>
          </rPr>
          <t xml:space="preserve">s: I am still hopeful to improve situation in life
</t>
        </r>
        <r>
          <rPr>
            <b/>
            <sz val="10"/>
            <color indexed="81"/>
            <rFont val="Tahoma"/>
            <family val="2"/>
          </rPr>
          <t>mild hopelessness</t>
        </r>
        <r>
          <rPr>
            <sz val="10"/>
            <color indexed="81"/>
            <rFont val="Tahoma"/>
            <family val="2"/>
          </rPr>
          <t xml:space="preserve">: I have lingering doubt if things will ever turn out okay
</t>
        </r>
        <r>
          <rPr>
            <b/>
            <sz val="10"/>
            <color indexed="81"/>
            <rFont val="Tahoma"/>
            <family val="2"/>
          </rPr>
          <t>moderate hopelessness</t>
        </r>
        <r>
          <rPr>
            <sz val="10"/>
            <color indexed="81"/>
            <rFont val="Tahoma"/>
            <family val="2"/>
          </rPr>
          <t xml:space="preserve">: I am giving up hope for a normal healthy life
</t>
        </r>
        <r>
          <rPr>
            <b/>
            <sz val="10"/>
            <color indexed="81"/>
            <rFont val="Tahoma"/>
            <family val="2"/>
          </rPr>
          <t>severe hopelessness</t>
        </r>
        <r>
          <rPr>
            <sz val="10"/>
            <color indexed="81"/>
            <rFont val="Tahoma"/>
            <family val="2"/>
          </rPr>
          <t xml:space="preserve">: Frequent thoughts of suicide consume me
</t>
        </r>
        <r>
          <rPr>
            <b/>
            <sz val="10"/>
            <color indexed="81"/>
            <rFont val="Tahoma"/>
            <family val="2"/>
          </rPr>
          <t>totally helpless</t>
        </r>
        <r>
          <rPr>
            <sz val="10"/>
            <color indexed="81"/>
            <rFont val="Tahoma"/>
            <family val="2"/>
          </rPr>
          <t>: I despair to the point of attempting suicide</t>
        </r>
      </text>
    </comment>
    <comment ref="B950" authorId="0" shapeId="0" xr:uid="{3526C658-D326-4A3D-A980-435B2AAB4840}">
      <text>
        <r>
          <rPr>
            <b/>
            <sz val="12"/>
            <color indexed="20"/>
            <rFont val="Tahoma"/>
            <family val="2"/>
          </rPr>
          <t>AI 1</t>
        </r>
        <r>
          <rPr>
            <sz val="12"/>
            <color indexed="20"/>
            <rFont val="Tahoma"/>
            <family val="2"/>
          </rPr>
          <t xml:space="preserve">: </t>
        </r>
        <r>
          <rPr>
            <b/>
            <sz val="12"/>
            <color indexed="20"/>
            <rFont val="Tahoma"/>
            <family val="2"/>
          </rPr>
          <t>Impact</t>
        </r>
        <r>
          <rPr>
            <sz val="9"/>
            <color indexed="81"/>
            <rFont val="Tahoma"/>
            <family val="2"/>
          </rPr>
          <t xml:space="preserve">
</t>
        </r>
        <r>
          <rPr>
            <b/>
            <sz val="10"/>
            <color indexed="81"/>
            <rFont val="Tahoma"/>
            <family val="2"/>
          </rPr>
          <t>direct impact</t>
        </r>
        <r>
          <rPr>
            <sz val="10"/>
            <color indexed="81"/>
            <rFont val="Tahoma"/>
            <family val="2"/>
          </rPr>
          <t xml:space="preserve">: affected needs cannot resolve without this person's direction.
</t>
        </r>
        <r>
          <rPr>
            <b/>
            <sz val="10"/>
            <color indexed="81"/>
            <rFont val="Tahoma"/>
            <family val="2"/>
          </rPr>
          <t>indirect impact</t>
        </r>
        <r>
          <rPr>
            <sz val="10"/>
            <color indexed="81"/>
            <rFont val="Tahoma"/>
            <family val="2"/>
          </rPr>
          <t xml:space="preserve">: affected needs may not resolve without this person's cooperation.
</t>
        </r>
        <r>
          <rPr>
            <b/>
            <sz val="10"/>
            <color indexed="81"/>
            <rFont val="Tahoma"/>
            <family val="2"/>
          </rPr>
          <t>peripheral impact</t>
        </r>
        <r>
          <rPr>
            <sz val="10"/>
            <color indexed="81"/>
            <rFont val="Tahoma"/>
            <family val="2"/>
          </rPr>
          <t xml:space="preserve">: affected needs can more satisfactorily resolve with this person's input.
</t>
        </r>
        <r>
          <rPr>
            <b/>
            <sz val="10"/>
            <color indexed="81"/>
            <rFont val="Tahoma"/>
            <family val="2"/>
          </rPr>
          <t>uncertain</t>
        </r>
        <r>
          <rPr>
            <sz val="10"/>
            <color indexed="81"/>
            <rFont val="Tahoma"/>
            <family val="2"/>
          </rPr>
          <t>: insufficient information to characterize degree of AI impact.</t>
        </r>
      </text>
    </comment>
    <comment ref="B951" authorId="0" shapeId="0" xr:uid="{4E44A532-4DBA-4F63-BE1D-E216D5786C2F}">
      <text>
        <r>
          <rPr>
            <b/>
            <sz val="12"/>
            <color indexed="20"/>
            <rFont val="Tahoma"/>
            <family val="2"/>
          </rPr>
          <t>AI 2</t>
        </r>
        <r>
          <rPr>
            <sz val="12"/>
            <color indexed="20"/>
            <rFont val="Tahoma"/>
            <family val="2"/>
          </rPr>
          <t xml:space="preserve">: </t>
        </r>
        <r>
          <rPr>
            <b/>
            <sz val="12"/>
            <color indexed="20"/>
            <rFont val="Tahoma"/>
            <family val="2"/>
          </rPr>
          <t>Linkage</t>
        </r>
        <r>
          <rPr>
            <sz val="9"/>
            <color indexed="81"/>
            <rFont val="Tahoma"/>
            <family val="2"/>
          </rPr>
          <t xml:space="preserve">
</t>
        </r>
        <r>
          <rPr>
            <b/>
            <sz val="10"/>
            <color indexed="81"/>
            <rFont val="Tahoma"/>
            <family val="2"/>
          </rPr>
          <t>downchain</t>
        </r>
        <r>
          <rPr>
            <sz val="10"/>
            <color indexed="81"/>
            <rFont val="Tahoma"/>
            <family val="2"/>
          </rPr>
          <t xml:space="preserve">: AI delegates authority to those of lower rank.
</t>
        </r>
        <r>
          <rPr>
            <b/>
            <sz val="10"/>
            <color indexed="81"/>
            <rFont val="Tahoma"/>
            <family val="2"/>
          </rPr>
          <t>sidechain</t>
        </r>
        <r>
          <rPr>
            <sz val="10"/>
            <color indexed="81"/>
            <rFont val="Tahoma"/>
            <family val="2"/>
          </rPr>
          <t xml:space="preserve">: AI shares authority with coequal powerholders.
</t>
        </r>
        <r>
          <rPr>
            <b/>
            <sz val="10"/>
            <color indexed="81"/>
            <rFont val="Tahoma"/>
            <family val="2"/>
          </rPr>
          <t>upchain</t>
        </r>
        <r>
          <rPr>
            <sz val="10"/>
            <color indexed="81"/>
            <rFont val="Tahoma"/>
            <family val="2"/>
          </rPr>
          <t xml:space="preserve">: AI must check with authority of higher rank.
</t>
        </r>
        <r>
          <rPr>
            <b/>
            <sz val="10"/>
            <color indexed="81"/>
            <rFont val="Tahoma"/>
            <family val="2"/>
          </rPr>
          <t>unknown</t>
        </r>
        <r>
          <rPr>
            <sz val="10"/>
            <color indexed="81"/>
            <rFont val="Tahoma"/>
            <family val="2"/>
          </rPr>
          <t>: AI chain of authority remains a mystery.</t>
        </r>
      </text>
    </comment>
    <comment ref="B952" authorId="0" shapeId="0" xr:uid="{B57747F6-61F5-4DDB-A8E5-980BCC0A6447}">
      <text>
        <r>
          <rPr>
            <b/>
            <sz val="12"/>
            <color indexed="20"/>
            <rFont val="Tahoma"/>
            <family val="2"/>
          </rPr>
          <t>AI 3</t>
        </r>
        <r>
          <rPr>
            <sz val="12"/>
            <color indexed="20"/>
            <rFont val="Tahoma"/>
            <family val="2"/>
          </rPr>
          <t xml:space="preserve">: </t>
        </r>
        <r>
          <rPr>
            <b/>
            <sz val="12"/>
            <color indexed="20"/>
            <rFont val="Tahoma"/>
            <family val="2"/>
          </rPr>
          <t xml:space="preserve">Reaction </t>
        </r>
        <r>
          <rPr>
            <sz val="11"/>
            <color indexed="20"/>
            <rFont val="Tahoma"/>
            <family val="2"/>
          </rPr>
          <t>(or anticipated reaction)</t>
        </r>
        <r>
          <rPr>
            <sz val="9"/>
            <color indexed="81"/>
            <rFont val="Tahoma"/>
            <family val="2"/>
          </rPr>
          <t xml:space="preserve">
</t>
        </r>
        <r>
          <rPr>
            <b/>
            <sz val="10"/>
            <color indexed="81"/>
            <rFont val="Tahoma"/>
            <family val="2"/>
          </rPr>
          <t>unresponsive</t>
        </r>
        <r>
          <rPr>
            <sz val="10"/>
            <color indexed="81"/>
            <rFont val="Tahoma"/>
            <family val="2"/>
          </rPr>
          <t>: has not responded to last contact attempt.</t>
        </r>
        <r>
          <rPr>
            <sz val="9"/>
            <color indexed="81"/>
            <rFont val="Tahoma"/>
            <family val="2"/>
          </rPr>
          <t xml:space="preserve">
</t>
        </r>
        <r>
          <rPr>
            <b/>
            <sz val="10"/>
            <color indexed="81"/>
            <rFont val="Tahoma"/>
            <family val="2"/>
          </rPr>
          <t>hostile</t>
        </r>
        <r>
          <rPr>
            <sz val="10"/>
            <color indexed="81"/>
            <rFont val="Tahoma"/>
            <family val="2"/>
          </rPr>
          <t xml:space="preserve">: claims this amounts to extortion, or similar hostility.
</t>
        </r>
        <r>
          <rPr>
            <b/>
            <sz val="10"/>
            <color indexed="81"/>
            <rFont val="Tahoma"/>
            <family val="2"/>
          </rPr>
          <t>resists</t>
        </r>
        <r>
          <rPr>
            <sz val="10"/>
            <color indexed="81"/>
            <rFont val="Tahoma"/>
            <family val="2"/>
          </rPr>
          <t xml:space="preserve">: evades responsibility, asserts authority, similar resistance.
</t>
        </r>
        <r>
          <rPr>
            <b/>
            <sz val="10"/>
            <color indexed="81"/>
            <rFont val="Tahoma"/>
            <family val="2"/>
          </rPr>
          <t>hesitant</t>
        </r>
        <r>
          <rPr>
            <sz val="10"/>
            <color indexed="81"/>
            <rFont val="Tahoma"/>
            <family val="2"/>
          </rPr>
          <t xml:space="preserve">: reluctantly acknowledges some impact but slow to work with us.
</t>
        </r>
        <r>
          <rPr>
            <b/>
            <sz val="10"/>
            <color indexed="81"/>
            <rFont val="Tahoma"/>
            <family val="2"/>
          </rPr>
          <t>cautious</t>
        </r>
        <r>
          <rPr>
            <sz val="10"/>
            <color indexed="81"/>
            <rFont val="Tahoma"/>
            <family val="2"/>
          </rPr>
          <t xml:space="preserve">: agrees to impact but not ready to commit to conciliatory process.
</t>
        </r>
        <r>
          <rPr>
            <b/>
            <sz val="10"/>
            <color indexed="81"/>
            <rFont val="Tahoma"/>
            <family val="2"/>
          </rPr>
          <t>enthusiastic</t>
        </r>
        <r>
          <rPr>
            <sz val="10"/>
            <color indexed="81"/>
            <rFont val="Tahoma"/>
            <family val="2"/>
          </rPr>
          <t>: eager to pursue conciliatory process of mutual benefit.</t>
        </r>
      </text>
    </comment>
    <comment ref="B953" authorId="0" shapeId="0" xr:uid="{16D3AE2F-7A33-4385-8493-4C7EE1D754AB}">
      <text>
        <r>
          <rPr>
            <b/>
            <sz val="12"/>
            <color indexed="20"/>
            <rFont val="Tahoma"/>
            <family val="2"/>
          </rPr>
          <t>AI 4</t>
        </r>
        <r>
          <rPr>
            <sz val="12"/>
            <color indexed="20"/>
            <rFont val="Tahoma"/>
            <family val="2"/>
          </rPr>
          <t xml:space="preserve">: </t>
        </r>
        <r>
          <rPr>
            <b/>
            <sz val="12"/>
            <color indexed="20"/>
            <rFont val="Tahoma"/>
            <family val="2"/>
          </rPr>
          <t>Engaging</t>
        </r>
        <r>
          <rPr>
            <sz val="9"/>
            <color indexed="81"/>
            <rFont val="Tahoma"/>
            <family val="2"/>
          </rPr>
          <t xml:space="preserve">
</t>
        </r>
        <r>
          <rPr>
            <b/>
            <sz val="10"/>
            <color indexed="81"/>
            <rFont val="Tahoma"/>
            <family val="2"/>
          </rPr>
          <t>unresonsive</t>
        </r>
        <r>
          <rPr>
            <sz val="10"/>
            <color indexed="81"/>
            <rFont val="Tahoma"/>
            <family val="2"/>
          </rPr>
          <t xml:space="preserve">: AI shows no interest or fails to reply within a reasonable time.
</t>
        </r>
        <r>
          <rPr>
            <b/>
            <sz val="10"/>
            <color indexed="81"/>
            <rFont val="Tahoma"/>
            <family val="2"/>
          </rPr>
          <t>responsive</t>
        </r>
        <r>
          <rPr>
            <sz val="10"/>
            <color indexed="81"/>
            <rFont val="Tahoma"/>
            <family val="2"/>
          </rPr>
          <t xml:space="preserve">: AI demonstrates responsiveness to invitation to process.
</t>
        </r>
        <r>
          <rPr>
            <b/>
            <sz val="10"/>
            <color indexed="81"/>
            <rFont val="Tahoma"/>
            <family val="2"/>
          </rPr>
          <t>supportive</t>
        </r>
        <r>
          <rPr>
            <sz val="10"/>
            <color indexed="81"/>
            <rFont val="Tahoma"/>
            <family val="2"/>
          </rPr>
          <t xml:space="preserve">: AI ready to actively support RI's cause with intangible &amp; tangible resources.
</t>
        </r>
        <r>
          <rPr>
            <b/>
            <sz val="10"/>
            <color indexed="81"/>
            <rFont val="Tahoma"/>
            <family val="2"/>
          </rPr>
          <t>investing</t>
        </r>
        <r>
          <rPr>
            <sz val="10"/>
            <color indexed="81"/>
            <rFont val="Tahoma"/>
            <family val="2"/>
          </rPr>
          <t>: AI expresses willingness to finacially support RI's cause to resolve identified need(s)</t>
        </r>
        <r>
          <rPr>
            <sz val="9"/>
            <color indexed="81"/>
            <rFont val="Tahoma"/>
            <family val="2"/>
          </rPr>
          <t>.</t>
        </r>
      </text>
    </comment>
    <comment ref="C974" authorId="0" shapeId="0" xr:uid="{03728196-F771-464E-BA48-F8F20A73FAD7}">
      <text>
        <r>
          <rPr>
            <b/>
            <sz val="11"/>
            <color indexed="81"/>
            <rFont val="Tahoma"/>
            <family val="2"/>
          </rPr>
          <t>Scientific legitimacy:</t>
        </r>
        <r>
          <rPr>
            <sz val="9"/>
            <color indexed="81"/>
            <rFont val="Tahoma"/>
            <family val="2"/>
          </rPr>
          <t xml:space="preserve">
</t>
        </r>
        <r>
          <rPr>
            <sz val="10"/>
            <color indexed="81"/>
            <rFont val="Tahoma"/>
            <family val="2"/>
          </rPr>
          <t>Legitimacy quality improves the more powerholders remain open to flow of impact data provided as measurable empirical data. The more the powerholder does something, for example, the more the impacted powerless experiences something to their needs.</t>
        </r>
      </text>
    </comment>
    <comment ref="C977" authorId="0" shapeId="0" xr:uid="{3CE8D466-A203-4A47-A2FC-5C721223735E}">
      <text>
        <r>
          <rPr>
            <b/>
            <sz val="11"/>
            <color indexed="81"/>
            <rFont val="Tahoma"/>
            <family val="2"/>
          </rPr>
          <t>Democratic legitimacy:</t>
        </r>
        <r>
          <rPr>
            <sz val="9"/>
            <color indexed="81"/>
            <rFont val="Tahoma"/>
            <family val="2"/>
          </rPr>
          <t xml:space="preserve">
</t>
        </r>
        <r>
          <rPr>
            <sz val="10"/>
            <color indexed="81"/>
            <rFont val="Tahoma"/>
            <family val="2"/>
          </rPr>
          <t>Legitimacy quality improves the more powerholders remain open to continual input from those they impact, and not limited to ballot options narrowed by elites.</t>
        </r>
      </text>
    </comment>
    <comment ref="C980" authorId="0" shapeId="0" xr:uid="{0DCD0B32-28E8-487C-A0C9-FE67DFD4EB08}">
      <text>
        <r>
          <rPr>
            <b/>
            <sz val="11"/>
            <color indexed="81"/>
            <rFont val="Tahoma"/>
            <family val="2"/>
          </rPr>
          <t>Constitutional legitimacy:</t>
        </r>
        <r>
          <rPr>
            <sz val="9"/>
            <color indexed="81"/>
            <rFont val="Tahoma"/>
            <family val="2"/>
          </rPr>
          <t xml:space="preserve">
</t>
        </r>
        <r>
          <rPr>
            <sz val="10"/>
            <color indexed="81"/>
            <rFont val="Tahoma"/>
            <family val="2"/>
          </rPr>
          <t>Legitimacy quality improves the more powerholders ground their actions on universal principles, and less on culturally relative or self-serving preferences privileged by law or custom.</t>
        </r>
      </text>
    </comment>
    <comment ref="C983" authorId="0" shapeId="0" xr:uid="{F1CB4A1F-67D8-4930-8A45-C42E79E96072}">
      <text>
        <r>
          <rPr>
            <b/>
            <sz val="11"/>
            <color indexed="81"/>
            <rFont val="Tahoma"/>
            <family val="2"/>
          </rPr>
          <t>Inspirational legitimacy:</t>
        </r>
        <r>
          <rPr>
            <sz val="9"/>
            <color indexed="81"/>
            <rFont val="Tahoma"/>
            <family val="2"/>
          </rPr>
          <t xml:space="preserve">
</t>
        </r>
        <r>
          <rPr>
            <sz val="10"/>
            <color indexed="81"/>
            <rFont val="Tahoma"/>
            <family val="2"/>
          </rPr>
          <t>Legitimacy quality improves the more powerholders demonstrate the integrity passed down in various inspirational traditions.</t>
        </r>
      </text>
    </comment>
    <comment ref="C986" authorId="0" shapeId="0" xr:uid="{2E36AF59-B29C-46DE-8AF2-201BA1E0577D}">
      <text>
        <r>
          <rPr>
            <b/>
            <sz val="11"/>
            <color indexed="81"/>
            <rFont val="Tahoma"/>
            <family val="2"/>
          </rPr>
          <t>Wisdon standard:</t>
        </r>
        <r>
          <rPr>
            <sz val="9"/>
            <color indexed="81"/>
            <rFont val="Tahoma"/>
            <family val="2"/>
          </rPr>
          <t xml:space="preserve">
</t>
        </r>
        <r>
          <rPr>
            <sz val="10"/>
            <color indexed="81"/>
            <rFont val="Tahoma"/>
            <family val="2"/>
          </rPr>
          <t>Legitimacy quality improves the more powerholders demonstrate responsiveness to needs as most appropriate to each situation.</t>
        </r>
      </text>
    </comment>
    <comment ref="C989" authorId="0" shapeId="0" xr:uid="{70A39864-411C-4420-9E07-9A3676DC2F0F}">
      <text>
        <r>
          <rPr>
            <b/>
            <sz val="11"/>
            <color indexed="81"/>
            <rFont val="Tahoma"/>
            <family val="2"/>
          </rPr>
          <t>Love standard:</t>
        </r>
        <r>
          <rPr>
            <sz val="9"/>
            <color indexed="81"/>
            <rFont val="Tahoma"/>
            <family val="2"/>
          </rPr>
          <t xml:space="preserve">
</t>
        </r>
        <r>
          <rPr>
            <sz val="10"/>
            <color indexed="81"/>
            <rFont val="Tahoma"/>
            <family val="2"/>
          </rPr>
          <t>Legitimacy quality improves the more powerholders prioritize the needs of those they impact over their own needs, as long as their needs are not being infringed by anyone. In other words, when powerholder demonstrates they value others as much as they value themselves.</t>
        </r>
      </text>
    </comment>
    <comment ref="C992" authorId="0" shapeId="0" xr:uid="{FF432717-9401-47AA-B9D6-7F4B7B2BD032}">
      <text>
        <r>
          <rPr>
            <b/>
            <sz val="11"/>
            <color indexed="81"/>
            <rFont val="Tahoma"/>
            <family val="2"/>
          </rPr>
          <t>Accountablity standard:</t>
        </r>
        <r>
          <rPr>
            <sz val="9"/>
            <color indexed="81"/>
            <rFont val="Tahoma"/>
            <family val="2"/>
          </rPr>
          <t xml:space="preserve">
</t>
        </r>
        <r>
          <rPr>
            <sz val="10"/>
            <color indexed="81"/>
            <rFont val="Tahoma"/>
            <family val="2"/>
          </rPr>
          <t xml:space="preserve">Legitimacy quality improves the more powerholders keep themselves openly and freely accountable for their impactful actions. </t>
        </r>
      </text>
    </comment>
    <comment ref="C995" authorId="0" shapeId="0" xr:uid="{AA50822D-406E-4071-A8F9-443F30A4FDB6}">
      <text>
        <r>
          <rPr>
            <b/>
            <sz val="11"/>
            <color indexed="81"/>
            <rFont val="Tahoma"/>
            <family val="2"/>
          </rPr>
          <t>Supportive standard:</t>
        </r>
        <r>
          <rPr>
            <sz val="9"/>
            <color indexed="81"/>
            <rFont val="Tahoma"/>
            <family val="2"/>
          </rPr>
          <t xml:space="preserve">
</t>
        </r>
        <r>
          <rPr>
            <sz val="10"/>
            <color indexed="81"/>
            <rFont val="Tahoma"/>
            <family val="2"/>
          </rPr>
          <t>Legitimacy quality improves the more powerholders demonstrate a willing and readiness to support those they readily impact.</t>
        </r>
      </text>
    </comment>
    <comment ref="C998" authorId="0" shapeId="0" xr:uid="{B3B39A53-7A96-44C0-A265-B14D695C4825}">
      <text>
        <r>
          <rPr>
            <b/>
            <sz val="11"/>
            <color indexed="81"/>
            <rFont val="Tahoma"/>
            <family val="2"/>
          </rPr>
          <t>Responsive standard:</t>
        </r>
        <r>
          <rPr>
            <sz val="9"/>
            <color indexed="81"/>
            <rFont val="Tahoma"/>
            <family val="2"/>
          </rPr>
          <t xml:space="preserve">
L</t>
        </r>
        <r>
          <rPr>
            <sz val="10"/>
            <color indexed="81"/>
            <rFont val="Tahoma"/>
            <family val="2"/>
          </rPr>
          <t>egitimacy quality improves the more powerholders stay responsive to the complaints and requests of those they impact, and never evade responsibility with a dismissive attitude towards others of less advantage.</t>
        </r>
      </text>
    </comment>
    <comment ref="AB1014" authorId="0" shapeId="0" xr:uid="{E758F046-7514-41E5-B2B7-177BA221B999}">
      <text/>
    </comment>
    <comment ref="AB1045" authorId="0" shapeId="0" xr:uid="{7E543163-0ACD-4320-AB85-A8F3630EEF0C}">
      <text/>
    </comment>
    <comment ref="J1302" authorId="0" shapeId="0" xr:uid="{25FC9ED8-8649-4535-8676-699E3ED73FD1}">
      <text>
        <r>
          <rPr>
            <b/>
            <sz val="9"/>
            <color indexed="81"/>
            <rFont val="Tahoma"/>
            <family val="2"/>
          </rPr>
          <t>outrage that Republicans ___</t>
        </r>
      </text>
    </comment>
    <comment ref="K1302" authorId="0" shapeId="0" xr:uid="{3A877024-DA26-4237-A633-ED7B752B3EF1}">
      <text>
        <r>
          <rPr>
            <b/>
            <sz val="9"/>
            <color indexed="81"/>
            <rFont val="Tahoma"/>
            <family val="2"/>
          </rPr>
          <t>outrage that Democrats ___</t>
        </r>
      </text>
    </comment>
    <comment ref="T1302" authorId="0" shapeId="0" xr:uid="{DB065212-4373-4F4B-ADD9-087E795463C6}">
      <text>
        <r>
          <rPr>
            <b/>
            <sz val="9"/>
            <color indexed="81"/>
            <rFont val="Tahoma"/>
            <family val="2"/>
          </rPr>
          <t>outrage that Republicans ___</t>
        </r>
      </text>
    </comment>
    <comment ref="U1302" authorId="0" shapeId="0" xr:uid="{31C6B343-A204-4EAA-B236-74CADC219F40}">
      <text>
        <r>
          <rPr>
            <b/>
            <sz val="9"/>
            <color indexed="81"/>
            <rFont val="Tahoma"/>
            <family val="2"/>
          </rPr>
          <t>outrage that Democrats ___</t>
        </r>
      </text>
    </comment>
  </commentList>
</comments>
</file>

<file path=xl/sharedStrings.xml><?xml version="1.0" encoding="utf-8"?>
<sst xmlns="http://schemas.openxmlformats.org/spreadsheetml/2006/main" count="5115" uniqueCount="3221">
  <si>
    <t>Your self-needs</t>
  </si>
  <si>
    <t>Your social-needs</t>
  </si>
  <si>
    <t>Your psychosocial orientation</t>
  </si>
  <si>
    <t/>
  </si>
  <si>
    <t>ARGUE</t>
  </si>
  <si>
    <t>or</t>
  </si>
  <si>
    <t>LISTEN</t>
  </si>
  <si>
    <t>REJECT</t>
  </si>
  <si>
    <t>AFFIRM</t>
  </si>
  <si>
    <t>DEMAND</t>
  </si>
  <si>
    <t>OFFER</t>
  </si>
  <si>
    <t>unmet social-need</t>
  </si>
  <si>
    <t>guarded self-need</t>
  </si>
  <si>
    <t>guarded social-need</t>
  </si>
  <si>
    <t>unmet self-need</t>
  </si>
  <si>
    <t>VISIBLE EXPRESSION</t>
  </si>
  <si>
    <t>VULNERABLE NEEDS</t>
  </si>
  <si>
    <t>OPEN BORDERS</t>
  </si>
  <si>
    <t>RELAX BORDERS</t>
  </si>
  <si>
    <t>social progressive</t>
  </si>
  <si>
    <t>center left liberal</t>
  </si>
  <si>
    <t>new right reactionary</t>
  </si>
  <si>
    <t>far right or alt-right</t>
  </si>
  <si>
    <t>center right conservative</t>
  </si>
  <si>
    <t>Lateral array</t>
  </si>
  <si>
    <t>your stronger political claim</t>
  </si>
  <si>
    <t>their stronger political claim</t>
  </si>
  <si>
    <t>their weaker political claim</t>
  </si>
  <si>
    <t>your weaker political claim</t>
  </si>
  <si>
    <t>weaker political claim</t>
  </si>
  <si>
    <t>AUTHENTIC INDIVIDUALITY</t>
  </si>
  <si>
    <t>SOCIETAL INCLUSION</t>
  </si>
  <si>
    <t>PERSONAL SECURITY</t>
  </si>
  <si>
    <t>GROUP COHESION</t>
  </si>
  <si>
    <r>
      <rPr>
        <b/>
        <sz val="10"/>
        <color rgb="FF00B050"/>
        <rFont val="Arial Narrow"/>
        <family val="2"/>
      </rPr>
      <t>more resolved</t>
    </r>
    <r>
      <rPr>
        <b/>
        <sz val="10"/>
        <color theme="1"/>
        <rFont val="Arial Narrow"/>
        <family val="2"/>
      </rPr>
      <t xml:space="preserve"> self-need</t>
    </r>
  </si>
  <si>
    <r>
      <rPr>
        <b/>
        <sz val="10"/>
        <color rgb="FFFFFF00"/>
        <rFont val="Arial Narrow"/>
        <family val="2"/>
      </rPr>
      <t>less resolved</t>
    </r>
    <r>
      <rPr>
        <b/>
        <sz val="10"/>
        <color theme="1"/>
        <rFont val="Arial Narrow"/>
        <family val="2"/>
      </rPr>
      <t xml:space="preserve"> social-need</t>
    </r>
  </si>
  <si>
    <r>
      <rPr>
        <b/>
        <sz val="10"/>
        <color rgb="FFFFFF00"/>
        <rFont val="Arial Narrow"/>
        <family val="2"/>
      </rPr>
      <t>less resolved</t>
    </r>
    <r>
      <rPr>
        <b/>
        <sz val="10"/>
        <color theme="1"/>
        <rFont val="Arial Narrow"/>
        <family val="2"/>
      </rPr>
      <t xml:space="preserve"> self-need</t>
    </r>
  </si>
  <si>
    <r>
      <rPr>
        <b/>
        <sz val="10"/>
        <color rgb="FF00B050"/>
        <rFont val="Arial Narrow"/>
        <family val="2"/>
      </rPr>
      <t>more resolved</t>
    </r>
    <r>
      <rPr>
        <b/>
        <sz val="10"/>
        <color theme="1"/>
        <rFont val="Arial Narrow"/>
        <family val="2"/>
      </rPr>
      <t xml:space="preserve"> social-need</t>
    </r>
  </si>
  <si>
    <t xml:space="preserve">Are you economically secure? </t>
  </si>
  <si>
    <t xml:space="preserve">Are they economically secure? </t>
  </si>
  <si>
    <t>Access to mental health supports?</t>
  </si>
  <si>
    <t>Influence more than influenced?</t>
  </si>
  <si>
    <r>
      <rPr>
        <b/>
        <sz val="11"/>
        <color theme="1"/>
        <rFont val="Arial Narrow"/>
        <family val="2"/>
      </rPr>
      <t>Leaning politically</t>
    </r>
    <r>
      <rPr>
        <sz val="11"/>
        <color theme="1"/>
        <rFont val="Arial Narrow"/>
        <family val="2"/>
      </rPr>
      <t>:</t>
    </r>
  </si>
  <si>
    <t>yes</t>
  </si>
  <si>
    <t>no</t>
  </si>
  <si>
    <t>You have quality health security?</t>
  </si>
  <si>
    <t>They have quality health security?</t>
  </si>
  <si>
    <t>Live in a stable, supportive setting?</t>
  </si>
  <si>
    <t>Getting paid doing what you love?</t>
  </si>
  <si>
    <t>liberal</t>
  </si>
  <si>
    <t>conservative</t>
  </si>
  <si>
    <t>Populism: distrusting elite establishment</t>
  </si>
  <si>
    <t>Secure access to drinkable water?</t>
  </si>
  <si>
    <t>IMMIGRATION</t>
  </si>
  <si>
    <t>Core-needs</t>
  </si>
  <si>
    <t>Resource-needs</t>
  </si>
  <si>
    <t>Access-needs</t>
  </si>
  <si>
    <t>Psychosocial needs</t>
  </si>
  <si>
    <t>Universally in common</t>
  </si>
  <si>
    <t>Mostly in common</t>
  </si>
  <si>
    <t>Largely different</t>
  </si>
  <si>
    <r>
      <t>Politics as usual -</t>
    </r>
    <r>
      <rPr>
        <b/>
        <i/>
        <sz val="20"/>
        <color rgb="FF00501E"/>
        <rFont val="Tahoma"/>
        <family val="2"/>
      </rPr>
      <t xml:space="preserve"> immature polarizing</t>
    </r>
  </si>
  <si>
    <t>VULNERABLE YOU</t>
  </si>
  <si>
    <t>POLITICALLY INFLUENTIAL</t>
  </si>
  <si>
    <t>far left socialist</t>
  </si>
  <si>
    <t>Your experience of needs</t>
  </si>
  <si>
    <t>self-needs</t>
  </si>
  <si>
    <t>social-needs</t>
  </si>
  <si>
    <r>
      <t xml:space="preserve">Understanding politics: </t>
    </r>
    <r>
      <rPr>
        <b/>
        <i/>
        <sz val="20"/>
        <color rgb="FF371950"/>
        <rFont val="Tahoma"/>
        <family val="2"/>
      </rPr>
      <t>It's about needs</t>
    </r>
  </si>
  <si>
    <t>Do you have fully secure housing?</t>
  </si>
  <si>
    <t>Do they have fully secure housing?</t>
  </si>
  <si>
    <t>Do they have quality food security?</t>
  </si>
  <si>
    <t>Do you have quality food security?</t>
  </si>
  <si>
    <t>IMM</t>
  </si>
  <si>
    <t>CLI</t>
  </si>
  <si>
    <t>GUN</t>
  </si>
  <si>
    <t>ABO</t>
  </si>
  <si>
    <t>HEA</t>
  </si>
  <si>
    <t>CRI</t>
  </si>
  <si>
    <t>ECO</t>
  </si>
  <si>
    <t>RAC</t>
  </si>
  <si>
    <t>CLIMATE CHANGE</t>
  </si>
  <si>
    <t>GUN SAFETY</t>
  </si>
  <si>
    <t>ABORTION</t>
  </si>
  <si>
    <t>HEALTHCARE</t>
  </si>
  <si>
    <t>CRIMINAL JUSTICE</t>
  </si>
  <si>
    <t>ECONOMY</t>
  </si>
  <si>
    <t xml:space="preserve">Migrants exploit loopholes in our outmoded immigration laws, or evade the law entirely, often with violent results and other harmful consequences. </t>
  </si>
  <si>
    <t>No one is “illegal” and national borders reinforce discriminatory systems like racism and classism, usually against people exploited by US foreign interventions.</t>
  </si>
  <si>
    <t>ARGUE L</t>
  </si>
  <si>
    <t>ARGUE R</t>
  </si>
  <si>
    <t>REJECT L</t>
  </si>
  <si>
    <t>REJECT R</t>
  </si>
  <si>
    <t>DEMAND L</t>
  </si>
  <si>
    <t>DEMAND R</t>
  </si>
  <si>
    <t>LISTEN L</t>
  </si>
  <si>
    <t>LISTEN R</t>
  </si>
  <si>
    <t>OFFER L honor</t>
  </si>
  <si>
    <t>OFFER R respect</t>
  </si>
  <si>
    <t>OFFER L respect</t>
  </si>
  <si>
    <t>OFFER R honor</t>
  </si>
  <si>
    <t>Greedy corporations recklessly add to global warming with already catastrophic effects on the world’s most vulnerable.</t>
  </si>
  <si>
    <t>The US 2nd Amendment provides state militias to bear arms since it’s too dangerous to arm erratic individuals with lethal weapons.</t>
  </si>
  <si>
    <t>Life begins at birth. Women have the right to control their own bodies, including whether or not to carry a pregnancy to full term.</t>
  </si>
  <si>
    <t>Healthcare is a birth right, not just a privilege for those who can afford it. Government exists to guarantee this right to all.</t>
  </si>
  <si>
    <t>Hold police and prosecutors personally accountable for their many abuses of discretion, or just revamp the whole system.</t>
  </si>
  <si>
    <t>Government has a responsibility to ensure a safety net to protect the most vulnerable from an exploitive self-interested market.</t>
  </si>
  <si>
    <t>Since racism is “prejudice plus power,” it persists collectively among unenlightened white folks as a systemic problem.</t>
  </si>
  <si>
    <t>Statist pundits exaggerate how much humans can impact the climate to rationalize imposing more economic-stifling regulations.</t>
  </si>
  <si>
    <t>The 2nd Amendment guarantees the right to personally bear arms to check tyrannical government from its overreaching tendencies.</t>
  </si>
  <si>
    <t>Life begins at conception. The unborn have no voice, so we must be their voice to protect their right to live and reach their potential.</t>
  </si>
  <si>
    <t>My health is between me and my private providers, not bureaucrats nor activist judges driving up costs with excessive damage awards.</t>
  </si>
  <si>
    <t>Provide police and prosecutors with better tools to serve and protect the public from those lacking personal responsibility.</t>
  </si>
  <si>
    <t>Goods and services are best made available to the poor and to us all when government isn’t distorting the invisible hand of the market.</t>
  </si>
  <si>
    <t>Since racism is “judging people by their skin color,” it only persists as a problem on the far right and increasingly on the far left.</t>
  </si>
  <si>
    <t>AFFIRM L social</t>
  </si>
  <si>
    <t>AFFIRM R self</t>
  </si>
  <si>
    <t>AFFIRM L self</t>
  </si>
  <si>
    <t>AFFIRM R social</t>
  </si>
  <si>
    <t>WyS n</t>
  </si>
  <si>
    <t>WtD n</t>
  </si>
  <si>
    <t>W&amp;D n</t>
  </si>
  <si>
    <t>D&amp;W n</t>
  </si>
  <si>
    <t>DtW n</t>
  </si>
  <si>
    <t>DyN n</t>
  </si>
  <si>
    <t>WyS x</t>
  </si>
  <si>
    <t>WtD x</t>
  </si>
  <si>
    <t>W&amp;D x</t>
  </si>
  <si>
    <t>D&amp;W x</t>
  </si>
  <si>
    <t>DtW x</t>
  </si>
  <si>
    <t>DyN x</t>
  </si>
  <si>
    <t>Republicans who oppose undocumented migrants are essentially racist.</t>
  </si>
  <si>
    <t>Democrats who actively protect illegal aliens are essentially lawless.</t>
  </si>
  <si>
    <t>POSITION L</t>
  </si>
  <si>
    <t>POSITION R</t>
  </si>
  <si>
    <t>EASY ENTRY</t>
  </si>
  <si>
    <t>VETTED ENTRY</t>
  </si>
  <si>
    <t>GOV’T REGULATED</t>
  </si>
  <si>
    <t>GOV’T REGULATE</t>
  </si>
  <si>
    <t>DEREGULATE</t>
  </si>
  <si>
    <t>UNBORN RIGHTS</t>
  </si>
  <si>
    <t>REPRODUC. RIGHTS</t>
  </si>
  <si>
    <t>GOV’T ADMINISTER</t>
  </si>
  <si>
    <t>PRIVATE INSURER</t>
  </si>
  <si>
    <t>REFORM</t>
  </si>
  <si>
    <t>IMPROVE</t>
  </si>
  <si>
    <t>GOVERNMENT LED</t>
  </si>
  <si>
    <t>MARKET LED</t>
  </si>
  <si>
    <t>SYSTEMIC &amp; COMMON</t>
  </si>
  <si>
    <t>PERSONAL &amp; RARE</t>
  </si>
  <si>
    <t>Republicans get stuck on the profit motive that requires a steady supply of sick consumers.</t>
  </si>
  <si>
    <t>Democrats want to socialize medicine without individual accountability to health outcomes.</t>
  </si>
  <si>
    <t>Republicans too eagerly rely on one-size-fits-all police security to address social problems.</t>
  </si>
  <si>
    <t>Democrats too eagerly rely on impersonal legal answers to address personal problems.</t>
  </si>
  <si>
    <t>Republicans too willingly let big business dictate the norms of the economy in the name of capitalism.</t>
  </si>
  <si>
    <t>Democrats too willingly let big government dictate the norms of the economy in the name of socialism.</t>
  </si>
  <si>
    <t>Republicans are quick to overlook where racism persists.</t>
  </si>
  <si>
    <t>Most Republicans are climate deniers, greedy, bought by corporate interests.</t>
  </si>
  <si>
    <t>Most Democrats are climate alarmists, rationalizing to expand regulatory state.</t>
  </si>
  <si>
    <t>Limit greenhouse gas emissions further. Pass the Green New Deal. Follow the Paris Accords. Address climate crisis before it’s too late.</t>
  </si>
  <si>
    <t>Republicans are bought by the NRA and can only offer “thoughts and prayers” after mass killings.</t>
  </si>
  <si>
    <t>Democrats oppose individual gun ownership, as if only the state should legally own guns.</t>
  </si>
  <si>
    <t>Democrats are quick to see racism where it rarely exists.</t>
  </si>
  <si>
    <t>Shut down ICE! Stop building the wall. End racism at the border. Stop separating families &amp; caging children. Stop criminalizing being born elsewhere.</t>
  </si>
  <si>
    <t>Build the wall! Stem the tide of migrants, especially those who evade the law others dutifully follow. Then vet entry based on merit. MAGA!</t>
  </si>
  <si>
    <t>Limit gun possession to those who can pass a background check. Ban assault weapons. Close the gun show loophole.</t>
  </si>
  <si>
    <t>Respect the constitutional right for responsible citizens to own guns. Any gun safety legislation must not arbitrarily limit this right.</t>
  </si>
  <si>
    <t>Protect the right of women to control their own bodies. Keep funding Planned Parenthood. Don’t leave these women at the mercy of back alley coat hangers.</t>
  </si>
  <si>
    <t>Respect the sanctity of life. Inform new mothers of the consequences of an abortion. Compel her to pursue life-affirming alternatives like adoption.</t>
  </si>
  <si>
    <t>Ensure healthcare is affordable to all. Keep Obamacare in place or improve upon it with a single-payer expansion of Medicare.</t>
  </si>
  <si>
    <t>Trust market-based providers to competitively provide for our personalized healthcare needs. Pass tort reforms to lower costs.</t>
  </si>
  <si>
    <t>Stop police brutality. Fire racist cops. End criminalization of being addicted or mentally ill. Shut down the school-to-prison pipeline.</t>
  </si>
  <si>
    <t>Divert non-violent offenders into faith-based alternatives. Keep worst offenders out of our communities. Support police.</t>
  </si>
  <si>
    <t>Regulate the economy so it can effectively provide for us all and not just a wealthy few. Ensure a socialistic economy serves all.</t>
  </si>
  <si>
    <t>Deregulate the economy so it can efficiently produce whatever any individual demands. Ensure a capitalistic economy works for all.</t>
  </si>
  <si>
    <t>Check your white privilege. See how microaggressions traumatize.  Strengthen antidiscrimination laws. Consider reparations.</t>
  </si>
  <si>
    <t>Leave race out of policies, which is a debunked category. Decry black nationalism as much as white nationalism. End all racism.</t>
  </si>
  <si>
    <t>“I need to support others like me to move away from threats created by systemic inequities, and toward inclusive opportunities respecting our unique qualities.”</t>
  </si>
  <si>
    <t>“I need to be freer from threats of personal violence from outsiders, including foreign threats against the cohesion of my family and close-knit communities.”</t>
  </si>
  <si>
    <t>inclusion</t>
  </si>
  <si>
    <t>uniqueness</t>
  </si>
  <si>
    <t>cohesion</t>
  </si>
  <si>
    <t>security</t>
  </si>
  <si>
    <t>The more I honor your unmet self-need for security, I trust you’ll find it easier to respect our guarded self-need for uniqueness.</t>
  </si>
  <si>
    <t>The more I respect your guarded social-need for cohesion, I trust you’ll find it easier to honor our unmet social-need for inclusion.</t>
  </si>
  <si>
    <t>The more I respect your guarded self-need for uniqueness, I trust you’ll find it easier to honor our unmet self-need for security.</t>
  </si>
  <si>
    <t>The more I honor your unmet social-need for inclusion, I trust you’ll find it easier to respect our guarded social-need for cohesion.</t>
  </si>
  <si>
    <t>WIDE</t>
  </si>
  <si>
    <t>MID</t>
  </si>
  <si>
    <t>DEEP</t>
  </si>
  <si>
    <t>Guard cohesion: the more satisfied social-need</t>
  </si>
  <si>
    <t>Seek inclusion: to ease less satisfied social-need</t>
  </si>
  <si>
    <t>STEM ENTRY</t>
  </si>
  <si>
    <t>MERIT ENTRY</t>
  </si>
  <si>
    <t>NO ENTRY</t>
  </si>
  <si>
    <t>“I need to trust the environment stably provides for us all equally, and not exploited for a wealthy few at others’ future expense.”</t>
  </si>
  <si>
    <t>“I need to rely on the invisible hand of the market to balance personal economic interests with externalities affecting others.”</t>
  </si>
  <si>
    <t>trust</t>
  </si>
  <si>
    <t>self-responsibility</t>
  </si>
  <si>
    <t>economic cooperation</t>
  </si>
  <si>
    <t>self-determination</t>
  </si>
  <si>
    <t>The more I honor your unmet self-need for self-determination, I trust you’ll find it easier to respect our guarded self-need for self-responsibility.</t>
  </si>
  <si>
    <t>The more I respect your guarded social-need for economic cooperation, I trust you’ll find it easier to honor our unmet social-need for trust.</t>
  </si>
  <si>
    <t>The more I respect your guarded self-need for self-responsibility, I trust you’ll find it easier to honor our unmet self-need for self-determination.</t>
  </si>
  <si>
    <t>The more I honor your unmet social-need for trust, I trust you’ll find it easier to respect our guarded social-need for economic cooperation.</t>
  </si>
  <si>
    <t>“I need to be kept safe in public from traumatizing acts of individual gun violence, often by xenophobes targeting the vulnerably different.”</t>
  </si>
  <si>
    <t>“I need to provide my own localized safety from both random acts of individual violence and encroaching threats of collectivist tyranny.”</t>
  </si>
  <si>
    <t>ID group safety</t>
  </si>
  <si>
    <t>vulnerably different</t>
  </si>
  <si>
    <t>localized safety</t>
  </si>
  <si>
    <t>self-sufficiency</t>
  </si>
  <si>
    <t>The more I honor your unmet self-need for self-sufficiency, I trust you’ll find it easier to respect our guarded self-need to be vulnerably different.</t>
  </si>
  <si>
    <t>The more I respect your guarded social-need for localized safety, I trust you’ll find it easier to honor our unmet social-need for identity group safety.</t>
  </si>
  <si>
    <t>The more I respect your guarded self-need to be vulnerably different, I trust you’ll find it easier to honor our unmet self-need for self-sufficiency.</t>
  </si>
  <si>
    <t>The more I honor your unmet social-need for ID group safety, I trust you’ll find it easier to respect our guarded social-need for localized safety.</t>
  </si>
  <si>
    <t>“I need to freely access health care for my oft-controlled female body, including safe space to make the ultimate decision to end an unbearable pregnancy.”</t>
  </si>
  <si>
    <t>“I need to honor the sanctity of all life, including the yet to be born, who will never get to reach their life potential if voicelessly aborted by her seemingly selfish mother.”</t>
  </si>
  <si>
    <t>societal inclusion</t>
  </si>
  <si>
    <t>bodily autonomy</t>
  </si>
  <si>
    <t>familial bonding</t>
  </si>
  <si>
    <t>self-potential</t>
  </si>
  <si>
    <t>The more I respect your guarded social-need for familial bonding, I trust you’ll find it easier to honor our unmet social-need for societal inclusion.</t>
  </si>
  <si>
    <t>The more I respect your guarded self-need to be bodily autonomy, I trust you’ll find it easier to honor our unmet self-need for self-potential.</t>
  </si>
  <si>
    <t>The more I honor your unmet social-need for societal inclusion, I trust you’ll find it easier to respect our guarded social-need for familial bonding.</t>
  </si>
  <si>
    <t>“I need to access affordable healthcare that doesn’t force me further into debt, or force me to choose between my health and my other basic living needs.”</t>
  </si>
  <si>
    <t>“I need to freely choose my own health care providers to trust I can make optimal health care choices without bloated legal costs, long delays or other government inefficiencies.”</t>
  </si>
  <si>
    <t>affordable efficacy</t>
  </si>
  <si>
    <t>accessible efficiency</t>
  </si>
  <si>
    <t>optimal health</t>
  </si>
  <si>
    <t>basic health</t>
  </si>
  <si>
    <t>The more I honor your unmet self-need for optimal health, I trust you’ll find it easier to respect our guarded self-need to be basic health.</t>
  </si>
  <si>
    <t>The more I respect your guarded social-need for accessible efficiency, I trust you’ll find it easier to honor our unmet social-need for affordable efficacy.</t>
  </si>
  <si>
    <t>The more I respect your guarded self-need to be basic health, I trust you’ll find it easier to honor our unmet self-need for optimal health.</t>
  </si>
  <si>
    <t>The more I honor your unmet social-need for affordable efficacy, I trust you’ll find it easier to respect our guarded social-need for accessible efficiency.</t>
  </si>
  <si>
    <t>“I need to feel safe around law enforcement whose reactive rules of engagement easily trigger my trauma, provoking my defensiveness in ways often misread as a threat.”</t>
  </si>
  <si>
    <t>“I need to feel safe around others I don’t personally know who show a lack of personal responsibility, so I rely on responsive law enforcement to serve the justice needs of us all.”</t>
  </si>
  <si>
    <t>cultural inclusion</t>
  </si>
  <si>
    <t>legally different</t>
  </si>
  <si>
    <t>publicly safe</t>
  </si>
  <si>
    <t>personal responsibility</t>
  </si>
  <si>
    <t>The more I honor your unmet self-need for personal responsibility, I trust you’ll find it easier to respect our guarded self-need to be legally different.</t>
  </si>
  <si>
    <t>The more I respect your guarded social-need to be publicly safe, I trust you’ll find it easier to honor our unmet social-need for cultural nondiscrimination.</t>
  </si>
  <si>
    <t>The more I respect your guarded self-need to be legally different, I trust you’ll find it easier to honor our unmet self-need for personal responsibility.</t>
  </si>
  <si>
    <t>The more I honor your unmet social-need for cultural nondiscrimination, I trust you’ll find it easier to respect our guarded social-need to be publicly safe.</t>
  </si>
  <si>
    <t>“I need to securely access basic goods and services while kept safe from exploitation from better- resourced others in the marketplace.”</t>
  </si>
  <si>
    <t>“I need to freely exchange goods and services to reach my creative potential with little if any distraction from the imposing demands of others.”</t>
  </si>
  <si>
    <t>full economic participation</t>
  </si>
  <si>
    <t>market synergy</t>
  </si>
  <si>
    <t>creative potential</t>
  </si>
  <si>
    <t>The more I honor your unmet self-need for reaching creative potential, I trust you’ll find it easier to respect our guarded self-need to be vulnerably different.</t>
  </si>
  <si>
    <t>The more I respect your guarded social-need for market synergy, I trust you’ll find it easier to honor our unmet social-need for full economic participation.</t>
  </si>
  <si>
    <t>The more I respect your guarded self-need to be vulnerably different, I trust you’ll find it easier to honor our unmet self-need for reaching creative potential.</t>
  </si>
  <si>
    <t>The more I honor your unmet social-need for full economic participation, I trust you’ll find it easier to respect our guarded social-need for market synergy.</t>
  </si>
  <si>
    <t>“I need everyone to recognize where being ethnically different continues to exclude me/us in less obvious forms, limiting full inclusion in greater society.”</t>
  </si>
  <si>
    <t>“I need deeper ties not oversensitive to ethnic subtleties, which regrettably can appear exclusionary but is more inclusionary if you get to know me.”</t>
  </si>
  <si>
    <t>no ethnic discrimination</t>
  </si>
  <si>
    <t>culturally different</t>
  </si>
  <si>
    <t>deeper ties</t>
  </si>
  <si>
    <t>self-acceptance</t>
  </si>
  <si>
    <t>The more I honor your unmet self-need for self-acceptance, I trust you’ll find it easier to respect our guarded self-need to be ethnically different.</t>
  </si>
  <si>
    <t>The more I respect your guarded social-need for deeper ties, I trust you’ll find it easier to honor our unmet social-need for no ethnic discrimination.</t>
  </si>
  <si>
    <t>The more I respect your guarded self-need to be ethnically different, I trust you’ll find it easier to honor our unmet self-need for self-acceptance.</t>
  </si>
  <si>
    <t>The more I honor your unmet social-need for no ethnic discrimination, I trust you’ll find it easier to respect our guarded social-need for deeper ties.</t>
  </si>
  <si>
    <t>Let the first Republican male who has conceived, carried and birthed a child cast the first vote.</t>
  </si>
  <si>
    <t>Let every Democrat hear the muffled screams of every aborted child who will never get to vote.</t>
  </si>
  <si>
    <t>ECO-SOCIALISM ECOTAGE</t>
  </si>
  <si>
    <t>CLIMATE  CRISIS</t>
  </si>
  <si>
    <t>CARBON EXCHANGE</t>
  </si>
  <si>
    <t>NATURAL  CHANGE</t>
  </si>
  <si>
    <t>LEFTIST  ALARMIST HOAX</t>
  </si>
  <si>
    <t>ELITE HOAX OR ECO-FASCISM</t>
  </si>
  <si>
    <t>ARM THE POWERLESS</t>
  </si>
  <si>
    <t>GUN CONTROL AND MORE</t>
  </si>
  <si>
    <t>MONITORED  GUN RIGHTS</t>
  </si>
  <si>
    <t>MODERATED  GUN RIGHTS</t>
  </si>
  <si>
    <t>UNRESTRICTED  GUN RIGHTS</t>
  </si>
  <si>
    <t>ARM AGAINST INVADERS</t>
  </si>
  <si>
    <t>Freed from oppression: to ease less satisfied social-needs.</t>
  </si>
  <si>
    <t>Freed from tyranny: to ease less satisfied self-needs.</t>
  </si>
  <si>
    <t>Shared responsibility: to ease less satisfied social-needs.</t>
  </si>
  <si>
    <t>Personal responsibility: to ease less satisfied self-needs.</t>
  </si>
  <si>
    <t>OPPOSE ALL MISOGYNY</t>
  </si>
  <si>
    <t>MOTHER’S CHOICE</t>
  </si>
  <si>
    <t>EXCLUDE LATE TERM ONLY</t>
  </si>
  <si>
    <t>RARE EXCEPTIONS</t>
  </si>
  <si>
    <t>ONLY IF LIFE OF MOTHER AT RISK</t>
  </si>
  <si>
    <t>NO ABORTIONS NO EXCEPTIONS</t>
  </si>
  <si>
    <t>We need to fully protect women’s reproductive rights against misogynist attempts to control her body</t>
  </si>
  <si>
    <t>We need to trust the mother to make the best decision for her body and fetus throughout her pregnancy</t>
  </si>
  <si>
    <t>We need to trust the mother to decide what’s best as long as she acts before the final trimester</t>
  </si>
  <si>
    <t>We need to protect the unborn by allowing only rare exceptions like in cases of rape and incest</t>
  </si>
  <si>
    <t>We need to protect the unborn by allowing a termination only if the mother’s life is in peril</t>
  </si>
  <si>
    <t>We need to enshrine the sanctity of family life and allow no exceptions for terminating a pregnancy</t>
  </si>
  <si>
    <t>SOCIALIZED HEALTHCARE</t>
  </si>
  <si>
    <t>Nondiscrimination: to ease less satisfied social-needs.</t>
  </si>
  <si>
    <t>Life’s full potential: to ease less satisfied self-needs.</t>
  </si>
  <si>
    <t>MEDICARE  FOR ALL</t>
  </si>
  <si>
    <t>OBAMACARE HEALTH XCHNG</t>
  </si>
  <si>
    <t>ALTERNATE HEALTH XCHNG</t>
  </si>
  <si>
    <t>PRIVATE INSURANCE</t>
  </si>
  <si>
    <t>TRADITIONAL OR SINGLE-PAYER</t>
  </si>
  <si>
    <t>We need universal health care guaranteed by public ownership and admin of all health services</t>
  </si>
  <si>
    <t>We need to access health care as a right whether we can afford it or not, without risk of going into deep debt</t>
  </si>
  <si>
    <t>We need to work within the current health care system of trained providers with the Affordable Care Act</t>
  </si>
  <si>
    <t>We need to replace Obama-Care with a national or state level health exchange providing better choices</t>
  </si>
  <si>
    <t>We need to preserve our traditional system covered by private health insurers to choose our own providers</t>
  </si>
  <si>
    <t>We need reliable healthcare to guarantee the wellness of our people threatened by foreign pathologies</t>
  </si>
  <si>
    <t>Equal protection: to ease less satisfied social-needs.</t>
  </si>
  <si>
    <t>Personal freedom: to ease less satisfied self-needs.</t>
  </si>
  <si>
    <t>PRISON ABOLITION</t>
  </si>
  <si>
    <t>SOCIAL  JUSTICE FIRST</t>
  </si>
  <si>
    <t>FIRST STEP ACT REHABILITATION</t>
  </si>
  <si>
    <t>FIRST STEP ACT PUBLIC SAFETY</t>
  </si>
  <si>
    <t>MAKE AMERICA SAFE AGAIN</t>
  </si>
  <si>
    <t>KEEP SAFE  FROM GOV’T</t>
  </si>
  <si>
    <t>We need to replace the capitalist driven PIC with community-based responses to crime</t>
  </si>
  <si>
    <t>We need to dismantle systemic racism as a prime culprit behind mass incarceration</t>
  </si>
  <si>
    <t>We need to replace harsh punishment with rehab programs demonstrated to reduce recidivism</t>
  </si>
  <si>
    <t>We need to keep our communities safe by jailing the worst offenders and divert others into local programs</t>
  </si>
  <si>
    <t>We need to keep our communities safe by enabling individuals released from custody to better succeed</t>
  </si>
  <si>
    <t>We need less interference from law enforcement who oppose “domestic terrorism” over foreign threats</t>
  </si>
  <si>
    <t>Gov’t protection: to ease less satisfied social-needs.</t>
  </si>
  <si>
    <t>Self-responsibility: to ease less satisfied self-needs.</t>
  </si>
  <si>
    <t>SOCIALIST ECONOMY</t>
  </si>
  <si>
    <t>PROGRESSIVE TAXATION</t>
  </si>
  <si>
    <t>MODERATED ECONOMY</t>
  </si>
  <si>
    <t>MONITORED ECONOMY</t>
  </si>
  <si>
    <t>LAISSEZ FAIRE MARKET</t>
  </si>
  <si>
    <t>RESIST GLOBALISM</t>
  </si>
  <si>
    <t>We need to shift control for the means of production from elites to social owner-ship like coops &amp; employee owned businesses</t>
  </si>
  <si>
    <t>We need to tax the wealthy more to redistribute wealth where needed, for our economy to work for everybody</t>
  </si>
  <si>
    <t>We need to provide a public safety net for those our free market economy cannot save from slipping into poverty</t>
  </si>
  <si>
    <t>We need a free market to produce the goods and services we all need, with minimal state regulation to keep markets fair for all</t>
  </si>
  <si>
    <t>We need to deregulate the economy from state prying and allow the invisible hand of the market to lift all boats with cheaper goods &amp; services</t>
  </si>
  <si>
    <t>We need to let our people decide their own economic views in line with the fiscal challenges globalism forces them to locally endure</t>
  </si>
  <si>
    <t>STRUCTURAL &amp; PERVASIVE</t>
  </si>
  <si>
    <t>SYSTEMIC AND INTERSECTIONAL</t>
  </si>
  <si>
    <t>CULTURAL COMPETENCIES</t>
  </si>
  <si>
    <t>POST-RACIAL COLORBLIND</t>
  </si>
  <si>
    <t>PERSONAL YET RARE</t>
  </si>
  <si>
    <t>We need to consider reparations for slavery and compensate for any other shameful capitalist legacy</t>
  </si>
  <si>
    <t>We need others to see how systems of oppression intersect to compound trauma in our lives</t>
  </si>
  <si>
    <t xml:space="preserve">We need others to see room for improving each other’s cultural competencies when interacting with one another </t>
  </si>
  <si>
    <t>We need to celebrate the vast improvements in racial relationships and focus less on a past we cannot change</t>
  </si>
  <si>
    <t>We need all to see how racial discrimination now applies to whites who are increasingly disadvantaged</t>
  </si>
  <si>
    <t>Social equality: to ease less satisfied social-needs.</t>
  </si>
  <si>
    <t>We as nontraditional people feel systemically excluded from advantaged spaces by arbitrary national borders</t>
  </si>
  <si>
    <t>We need to admit most immigrants are desperate to leave situations largely of our interventionists making</t>
  </si>
  <si>
    <t>We need immigrants willing to do jobs citizens won’t and offer amnesty for citizenship after they show such merit</t>
  </si>
  <si>
    <t>We can offer amnesty to children born to illegal migrant parents after they show merit</t>
  </si>
  <si>
    <t>We need to limit migration to those first showing merit before crossing any of our sacred borders</t>
  </si>
  <si>
    <t>Nativist Americans feel smothered by excessive immigration, pressurizing already strained cohesion</t>
  </si>
  <si>
    <t>We feel powerless to stop capitalism from warming the climate and must resort to ecoterrorism to stop it</t>
  </si>
  <si>
    <t>We already see devastating effects of climate change and must act now before more lives get harmed</t>
  </si>
  <si>
    <t>We see climate change as a real problem that can be managed by cooperation between major contributors</t>
  </si>
  <si>
    <t>We admit it is possible human activity contributes to some climate change, but trust nature to correct it</t>
  </si>
  <si>
    <t>We see no compelling data to prove humans change the climate in a significant or any irreversible way</t>
  </si>
  <si>
    <t>We distrust any top-down pressure to give up our traditional ways, but to save earth for our own</t>
  </si>
  <si>
    <t>We cannot trust the police to always serve and protect the most vulnerable, so we arm to protect ourselves</t>
  </si>
  <si>
    <t>We consider gun licensing and other similar measures helpful, but arming the left could be a better balance</t>
  </si>
  <si>
    <t>We need to rely on the authority of the state to protect those most in danger from gun violence</t>
  </si>
  <si>
    <t>We need to protect gun rights by dealing with the few individuals most irresponsible with guns</t>
  </si>
  <si>
    <t>We need to protect law abiding patriots from all lawless threats against the good order of our nation</t>
  </si>
  <si>
    <t>We must be able to protect ourselves with arms from threats of invasion, from within and from without</t>
  </si>
  <si>
    <t>FOOD</t>
  </si>
  <si>
    <t>“I need sturdy shelter.”</t>
  </si>
  <si>
    <t>“I can room with others.”</t>
  </si>
  <si>
    <t>“I prefer to live alone.”</t>
  </si>
  <si>
    <t>HEALTH</t>
  </si>
  <si>
    <t>“If my copay isn’t too high.”</t>
  </si>
  <si>
    <t>“If my pharmacy carries it.”</t>
  </si>
  <si>
    <t>INCOME</t>
  </si>
  <si>
    <t>“I need my paycheck.”</t>
  </si>
  <si>
    <t>“I need more sales.”</t>
  </si>
  <si>
    <t>“I’d have more if wages were higher.”</t>
  </si>
  <si>
    <t>“I’d have more if taxes were lower.”</t>
  </si>
  <si>
    <t>SAFETY</t>
  </si>
  <si>
    <t>“I need fast protection.”</t>
  </si>
  <si>
    <t>“I need the law’s protection.”</t>
  </si>
  <si>
    <t>“I can better protect myself.”</t>
  </si>
  <si>
    <t>FUN</t>
  </si>
  <si>
    <t>"I'm bored."</t>
  </si>
  <si>
    <t>"I need some entertainment."</t>
  </si>
  <si>
    <t>core</t>
  </si>
  <si>
    <t>resource</t>
  </si>
  <si>
    <t>access</t>
  </si>
  <si>
    <t>PO</t>
  </si>
  <si>
    <t>TRAVEL</t>
  </si>
  <si>
    <t>WATER</t>
  </si>
  <si>
    <t>“I need a drink of water, or iced latte.”</t>
  </si>
  <si>
    <t>“I need a drink of water, or cold beer.”</t>
  </si>
  <si>
    <t>“I can dig my own well.”</t>
  </si>
  <si>
    <t>“I rely on regulated city water.”</t>
  </si>
  <si>
    <t>"Hopefully with good neighbors."</t>
  </si>
  <si>
    <t>"Hopefully far from the noisey city."</t>
  </si>
  <si>
    <t>“I need affordable medication.”</t>
  </si>
  <si>
    <t>“I need effective medication.”</t>
  </si>
  <si>
    <t>"I rely on public assistance."</t>
  </si>
  <si>
    <t>"I rely on my private insurance plan."</t>
  </si>
  <si>
    <t>"I can work harder to earn more."</t>
  </si>
  <si>
    <t>"I am at the mercy of my employer."</t>
  </si>
  <si>
    <t>"I can't always wait for the police."</t>
  </si>
  <si>
    <t>"I trust the police to protect us."</t>
  </si>
  <si>
    <t>"I can keep myself entertained."</t>
  </si>
  <si>
    <t>"I rely on others for entertainment."</t>
  </si>
  <si>
    <t>"I could go to the show in town."</t>
  </si>
  <si>
    <t>"I could watch a movie online."</t>
  </si>
  <si>
    <t>"I'm stuck."</t>
  </si>
  <si>
    <t>"I need to leave town."</t>
  </si>
  <si>
    <t>"I need to get to town."</t>
  </si>
  <si>
    <t>"I'll probably take the bus."</t>
  </si>
  <si>
    <t>"I'll probably drive my truck."</t>
  </si>
  <si>
    <t>"I usually rely on pubilc transport."</t>
  </si>
  <si>
    <t>HOUSING</t>
  </si>
  <si>
    <t>We all rely on something with water to restore fluid balance.</t>
  </si>
  <si>
    <t>"I'm thirsty."</t>
  </si>
  <si>
    <t>Persisting discrimination</t>
  </si>
  <si>
    <t>Trapped in white supremacy patterns with little if any hope of escape</t>
  </si>
  <si>
    <t>White shaming</t>
  </si>
  <si>
    <t>Loss of social status, job and perhaps career for unintentional slight</t>
  </si>
  <si>
    <t>OPPRESSION</t>
  </si>
  <si>
    <t>TYRANNY</t>
  </si>
  <si>
    <t>distress disintegrating social cohesion</t>
  </si>
  <si>
    <t>trauma preventing full social integration</t>
  </si>
  <si>
    <t>=</t>
  </si>
  <si>
    <t>&lt;</t>
  </si>
  <si>
    <t>L</t>
  </si>
  <si>
    <t>Trauma of white supremacy</t>
  </si>
  <si>
    <t>Dread of invasive culture</t>
  </si>
  <si>
    <t>Overwhelming disintegration of once cohesive supports</t>
  </si>
  <si>
    <t>Systemically targeted for exclusion if nonwhite</t>
  </si>
  <si>
    <t>Harmony Politics</t>
  </si>
  <si>
    <t>Afford a lawyer on retainer?</t>
  </si>
  <si>
    <t>Increasing natural catastrophes</t>
  </si>
  <si>
    <t>Devastating lives least capable to adjust to habitat impacts</t>
  </si>
  <si>
    <t>Trauma of mass shootings</t>
  </si>
  <si>
    <t>Vulnerabilities to xenophobic gun owners ("I could be shot next!")</t>
  </si>
  <si>
    <t>Forced pregnancies</t>
  </si>
  <si>
    <t>Threat to losing reproductive rights, having to resort to secrecy</t>
  </si>
  <si>
    <t>Left to die and suffer</t>
  </si>
  <si>
    <t>Risk crippling debt or worst from mounting medical bills</t>
  </si>
  <si>
    <t>Criminalized for being different</t>
  </si>
  <si>
    <t>Racial profiling, police brutality, onerous court fees, PIC</t>
  </si>
  <si>
    <t>Trapped in poverty cycles</t>
  </si>
  <si>
    <t>Slide deeper into debt and risk homelessness or worse</t>
  </si>
  <si>
    <t>Encroaching government tyranny</t>
  </si>
  <si>
    <t>Onerous environment regulations stifling property rights</t>
  </si>
  <si>
    <t>Defenseless without firearms</t>
  </si>
  <si>
    <t>Lose means to hold government overreach accountable</t>
  </si>
  <si>
    <t>Massive loss of innocence</t>
  </si>
  <si>
    <t>Mounting loss of newborn life (like Left's reaction to mass shootings)</t>
  </si>
  <si>
    <t>Loss of quality care</t>
  </si>
  <si>
    <t>Lose freedom to choose best options for health</t>
  </si>
  <si>
    <t>Violent criminals on the loose</t>
  </si>
  <si>
    <t>Targeted by violent felons, many from disintegrated communities</t>
  </si>
  <si>
    <t>Business failure</t>
  </si>
  <si>
    <t>Too many regulatory barriers to start &amp; grow a successful enterprise</t>
  </si>
  <si>
    <r>
      <rPr>
        <sz val="14"/>
        <color theme="8" tint="0.39997558519241921"/>
        <rFont val="Wingdings 3"/>
        <family val="1"/>
        <charset val="2"/>
      </rPr>
      <t>t</t>
    </r>
    <r>
      <rPr>
        <sz val="14"/>
        <color theme="8" tint="0.39997558519241921"/>
        <rFont val="Arial Narrow"/>
        <family val="2"/>
      </rPr>
      <t xml:space="preserve"> </t>
    </r>
    <r>
      <rPr>
        <sz val="14"/>
        <color theme="8" tint="0.39997558519241921"/>
        <rFont val="Arial Black"/>
        <family val="2"/>
      </rPr>
      <t>Wider relating</t>
    </r>
  </si>
  <si>
    <r>
      <rPr>
        <sz val="14"/>
        <color rgb="FFFF9999"/>
        <rFont val="Arial Black"/>
        <family val="2"/>
      </rPr>
      <t xml:space="preserve">Deeper relating </t>
    </r>
    <r>
      <rPr>
        <sz val="14"/>
        <color rgb="FFFF9999"/>
        <rFont val="Wingdings 3"/>
        <family val="1"/>
        <charset val="2"/>
      </rPr>
      <t>u</t>
    </r>
  </si>
  <si>
    <t>Premature rush to fight</t>
  </si>
  <si>
    <r>
      <rPr>
        <b/>
        <sz val="12"/>
        <color rgb="FF0070C0"/>
        <rFont val="Tahoma"/>
        <family val="2"/>
      </rPr>
      <t>WIDE</t>
    </r>
    <r>
      <rPr>
        <b/>
        <sz val="12"/>
        <color theme="1"/>
        <rFont val="Tahoma"/>
        <family val="2"/>
      </rPr>
      <t xml:space="preserve"> </t>
    </r>
    <r>
      <rPr>
        <b/>
        <sz val="12"/>
        <color rgb="FF00B050"/>
        <rFont val="Tahoma"/>
        <family val="2"/>
      </rPr>
      <t>strength</t>
    </r>
  </si>
  <si>
    <r>
      <rPr>
        <b/>
        <sz val="12"/>
        <color rgb="FF0070C0"/>
        <rFont val="Tahoma"/>
        <family val="2"/>
      </rPr>
      <t>WIDE</t>
    </r>
    <r>
      <rPr>
        <b/>
        <sz val="12"/>
        <color theme="1"/>
        <rFont val="Tahoma"/>
        <family val="2"/>
      </rPr>
      <t xml:space="preserve"> </t>
    </r>
    <r>
      <rPr>
        <b/>
        <sz val="12"/>
        <color rgb="FFFFFF00"/>
        <rFont val="Tahoma"/>
        <family val="2"/>
      </rPr>
      <t>weakness</t>
    </r>
  </si>
  <si>
    <r>
      <rPr>
        <b/>
        <sz val="12"/>
        <color rgb="FFC00000"/>
        <rFont val="Tahoma"/>
        <family val="2"/>
      </rPr>
      <t>DEEP</t>
    </r>
    <r>
      <rPr>
        <b/>
        <sz val="12"/>
        <color theme="1"/>
        <rFont val="Tahoma"/>
        <family val="2"/>
      </rPr>
      <t xml:space="preserve"> </t>
    </r>
    <r>
      <rPr>
        <b/>
        <sz val="12"/>
        <color rgb="FFFFFF00"/>
        <rFont val="Tahoma"/>
        <family val="2"/>
      </rPr>
      <t>weakness</t>
    </r>
  </si>
  <si>
    <r>
      <rPr>
        <b/>
        <sz val="12"/>
        <color rgb="FFC00000"/>
        <rFont val="Tahoma"/>
        <family val="2"/>
      </rPr>
      <t>DEEP</t>
    </r>
    <r>
      <rPr>
        <b/>
        <sz val="12"/>
        <color theme="1"/>
        <rFont val="Tahoma"/>
        <family val="2"/>
      </rPr>
      <t xml:space="preserve"> </t>
    </r>
    <r>
      <rPr>
        <b/>
        <sz val="12"/>
        <color rgb="FFFFFF00"/>
        <rFont val="Tahoma"/>
        <family val="2"/>
      </rPr>
      <t>threat</t>
    </r>
  </si>
  <si>
    <r>
      <rPr>
        <b/>
        <sz val="12"/>
        <color rgb="FF0070C0"/>
        <rFont val="Tahoma"/>
        <family val="2"/>
      </rPr>
      <t>WIDE</t>
    </r>
    <r>
      <rPr>
        <b/>
        <sz val="12"/>
        <color theme="1"/>
        <rFont val="Tahoma"/>
        <family val="2"/>
      </rPr>
      <t xml:space="preserve"> </t>
    </r>
    <r>
      <rPr>
        <b/>
        <sz val="12"/>
        <color rgb="FFFFFF00"/>
        <rFont val="Tahoma"/>
        <family val="2"/>
      </rPr>
      <t>threat</t>
    </r>
  </si>
  <si>
    <r>
      <rPr>
        <b/>
        <sz val="12"/>
        <color rgb="FF0070C0"/>
        <rFont val="Tahoma"/>
        <family val="2"/>
      </rPr>
      <t>WIDE</t>
    </r>
    <r>
      <rPr>
        <b/>
        <sz val="12"/>
        <color theme="1"/>
        <rFont val="Tahoma"/>
        <family val="2"/>
      </rPr>
      <t xml:space="preserve"> </t>
    </r>
    <r>
      <rPr>
        <b/>
        <sz val="12"/>
        <color rgb="FF00B050"/>
        <rFont val="Tahoma"/>
        <family val="2"/>
      </rPr>
      <t>opportunity</t>
    </r>
  </si>
  <si>
    <t>Wide S</t>
  </si>
  <si>
    <t>Wide W</t>
  </si>
  <si>
    <t>Wide O</t>
  </si>
  <si>
    <t>Wide T</t>
  </si>
  <si>
    <t>Deep S</t>
  </si>
  <si>
    <t>Deep W</t>
  </si>
  <si>
    <t>Deep O</t>
  </si>
  <si>
    <t>Deep T</t>
  </si>
  <si>
    <t>SELF-RESPONSIBILITY</t>
  </si>
  <si>
    <t>FAIR ACCESS</t>
  </si>
  <si>
    <t>SELF-DETERMINATION</t>
  </si>
  <si>
    <t>ECONOMIC COOPERATION</t>
  </si>
  <si>
    <t>VULNERABLY DIFFERENT</t>
  </si>
  <si>
    <t>ID GROUP SAFETY</t>
  </si>
  <si>
    <t>SELF-SUFFICIENCY</t>
  </si>
  <si>
    <t>LOCALIZED SAFETY</t>
  </si>
  <si>
    <t>BODILY AUTONOMY</t>
  </si>
  <si>
    <t>SELF-POTENTIAL</t>
  </si>
  <si>
    <t>FAMILIAL BONDING</t>
  </si>
  <si>
    <t>BASIC HEALTH</t>
  </si>
  <si>
    <t>AFFORDABLE EFFICACY</t>
  </si>
  <si>
    <t>OPTIMAL HEALTH</t>
  </si>
  <si>
    <t>ACCESSIBLE EFFICIENCY</t>
  </si>
  <si>
    <t>LEGALLY DIFFERENT</t>
  </si>
  <si>
    <t>CULTURAL INCLUSION</t>
  </si>
  <si>
    <t>PERSONAL RESPONSIBILITY</t>
  </si>
  <si>
    <t>PUBLICLY SAFE</t>
  </si>
  <si>
    <t>FULL ECONOMIC PARTICIPATION</t>
  </si>
  <si>
    <t>CREATIVE POTENTIAL</t>
  </si>
  <si>
    <t>MARKET SYNERGY</t>
  </si>
  <si>
    <t>CULTURALLY DIFFERENT</t>
  </si>
  <si>
    <t>NO ETHNIC DISCRIMINATION</t>
  </si>
  <si>
    <t>SELF-ACCEPTANCE</t>
  </si>
  <si>
    <t>DEEPER TIES</t>
  </si>
  <si>
    <t>I can buy it myself but must rely on many others in the market.</t>
  </si>
  <si>
    <t>You get your water from a bottle, while I from a tap.</t>
  </si>
  <si>
    <t>We all need</t>
  </si>
  <si>
    <t>but get it differently.</t>
  </si>
  <si>
    <t>"core"L</t>
  </si>
  <si>
    <t>"core"R</t>
  </si>
  <si>
    <t>"resource"L</t>
  </si>
  <si>
    <t>"resource"R</t>
  </si>
  <si>
    <t>"access"L</t>
  </si>
  <si>
    <t>"access"R</t>
  </si>
  <si>
    <t>"PO"L</t>
  </si>
  <si>
    <t>"PO"R</t>
  </si>
  <si>
    <t>"I'm hungry."</t>
  </si>
  <si>
    <t>"I'm cold."</t>
  </si>
  <si>
    <t>"I'm ill."</t>
  </si>
  <si>
    <t>"I'm broke."</t>
  </si>
  <si>
    <t>"I'm scared."</t>
  </si>
  <si>
    <t>We all feel the same need for bodily fluid balance.</t>
  </si>
  <si>
    <t>We all feel the same need for nutritional balance.</t>
  </si>
  <si>
    <t>We all feel the same need for temperature balance.</t>
  </si>
  <si>
    <t>We all feel the same need to purchase stuff.</t>
  </si>
  <si>
    <t>We all feel the same need for safety from threats.</t>
  </si>
  <si>
    <t>We all feel the same need for occasional excitement.</t>
  </si>
  <si>
    <t>We all feel the same need to get from place to place.</t>
  </si>
  <si>
    <t>You go to restaurants, while I cook my own meals.</t>
  </si>
  <si>
    <t>All our food comes to us through many handlers.</t>
  </si>
  <si>
    <t>Most of us rely on a roof over our head.</t>
  </si>
  <si>
    <t>You bought a house while I'm still renting.</t>
  </si>
  <si>
    <t>We get better using mostly the same medications.</t>
  </si>
  <si>
    <t>You receive a paycheck while I draw social security.</t>
  </si>
  <si>
    <t>We typically rely on law enforcement for protection.</t>
  </si>
  <si>
    <t>You trust the police to be helpful while I am less sure.</t>
  </si>
  <si>
    <t>We mostly rely on entertainment created by others.</t>
  </si>
  <si>
    <t>You go out to movies while I play video games online.</t>
  </si>
  <si>
    <t>Most of us rely on a car to get around.</t>
  </si>
  <si>
    <t>You own a car while I get around by bus.</t>
  </si>
  <si>
    <t>Most of us rely on the same basic foods to quell hunger.</t>
  </si>
  <si>
    <t>“I need affordable housing.”</t>
  </si>
  <si>
    <t>Thoroughly diverse</t>
  </si>
  <si>
    <t>"Hopefully far from the noisy city."</t>
  </si>
  <si>
    <t>You take aspirin while I take ibuprofen.</t>
  </si>
  <si>
    <t>Most of us rely on money in some form.</t>
  </si>
  <si>
    <t>“I need impartial protection.”</t>
  </si>
  <si>
    <t>"I need something amusing."</t>
  </si>
  <si>
    <t>"I always drive where I need to go."</t>
  </si>
  <si>
    <t>Each threat provokes its own particular reaction.</t>
  </si>
  <si>
    <t>I seek amusement from people I know and don't know.</t>
  </si>
  <si>
    <t>Different maladies require different health providers.</t>
  </si>
  <si>
    <t>I'm trusting all kinds of homebuilders to live here.</t>
  </si>
  <si>
    <t>I trust and distrust all kinds of people on the road.</t>
  </si>
  <si>
    <t>“Government serves the demand.”</t>
  </si>
  <si>
    <t>“The market ensures efficient supply.”</t>
  </si>
  <si>
    <t>W</t>
  </si>
  <si>
    <t>X</t>
  </si>
  <si>
    <t>Psychosocial orientation continuum</t>
  </si>
  <si>
    <t xml:space="preserve">Resolving </t>
  </si>
  <si>
    <t xml:space="preserve"> more than resolving </t>
  </si>
  <si>
    <t>autonomy</t>
  </si>
  <si>
    <t>authenticity</t>
  </si>
  <si>
    <t>independence</t>
  </si>
  <si>
    <t>initiative</t>
  </si>
  <si>
    <t>internal incentive</t>
  </si>
  <si>
    <t>personal freedom</t>
  </si>
  <si>
    <t>personal security</t>
  </si>
  <si>
    <t>privacy</t>
  </si>
  <si>
    <t>resilience</t>
  </si>
  <si>
    <t>self-efficacy</t>
  </si>
  <si>
    <t>self-expression</t>
  </si>
  <si>
    <t>self-purpose</t>
  </si>
  <si>
    <t>self-worth</t>
  </si>
  <si>
    <t>tenacity</t>
  </si>
  <si>
    <t>affection</t>
  </si>
  <si>
    <t>affirmation</t>
  </si>
  <si>
    <t>appreciation</t>
  </si>
  <si>
    <t>being understood</t>
  </si>
  <si>
    <t>belonging</t>
  </si>
  <si>
    <t>companionship</t>
  </si>
  <si>
    <t>cooperation</t>
  </si>
  <si>
    <t>dependability</t>
  </si>
  <si>
    <t>equal treatment</t>
  </si>
  <si>
    <t>friendship</t>
  </si>
  <si>
    <t>intimacy</t>
  </si>
  <si>
    <t>support</t>
  </si>
  <si>
    <t>synergy</t>
  </si>
  <si>
    <t xml:space="preserve">If not getting enough </t>
  </si>
  <si>
    <t xml:space="preserve">, you will naturally obsess more about </t>
  </si>
  <si>
    <t xml:space="preserve">. Reasoning has little to do with it. You can use reasoning for how to get the </t>
  </si>
  <si>
    <t xml:space="preserve"> you need, but there is no rational choice involved when nature prioritizes your urgent need for </t>
  </si>
  <si>
    <t xml:space="preserve"> you need completely on your own, or must you trust others?</t>
  </si>
  <si>
    <t>You naturally need to be able to address many of your needs on your own. You cannot always call on others for help.</t>
  </si>
  <si>
    <t>SELECT A SELF-NEED FROM THIS DROPDOWN LIST</t>
  </si>
  <si>
    <t>SELECT A SOCIAL-NEED FROM THIS DROPDOWN LIST</t>
  </si>
  <si>
    <t>THEN DETERMINE WHICH YOU EXPERIENCE AS MORE RESOLVED THAN THE OTHER</t>
  </si>
  <si>
    <t>RESET AFTER SELECTING A DIFFERENT SELF-NEED OR DIFFERENT SOCIAL-NEED</t>
  </si>
  <si>
    <t>. Emotions then rule.</t>
  </si>
  <si>
    <t>Getting paid doing what they love?</t>
  </si>
  <si>
    <t>The more I honor your unmet self-need for self-potential, I trust you’ll find it easier to respect our guarded self-need for bodily autonomy.</t>
  </si>
  <si>
    <t>Quick estimate your own psychosocial orientation, and see if it predicts your political outlook.</t>
  </si>
  <si>
    <t>The more you affirm my need for a stable climate, the easier to respect your need for unregulated self-determination.</t>
  </si>
  <si>
    <t>But the more you insist we can exploit the climate for money, the less I can serve your need for incentivized cooperation.</t>
  </si>
  <si>
    <t>The more you affirm my need for unregulated self-determination, the easier to respect your need for a lower carbon footprint.</t>
  </si>
  <si>
    <t>But the more you insist we submit to regulations, the less I can adopt your need for climate self-controls.</t>
  </si>
  <si>
    <t>W+</t>
  </si>
  <si>
    <t>W-</t>
  </si>
  <si>
    <t>D+</t>
  </si>
  <si>
    <t>D-</t>
  </si>
  <si>
    <t>The more you affirm my need to include worthy migrants, the easier to respect your need to stay safe from violent migrants.</t>
  </si>
  <si>
    <t>But the more you insist we all blend in to some melting pot, the less I can serve your need for local or national cohesion.</t>
  </si>
  <si>
    <t>The more you affirm my need to stay safe from lawless migrants, the easier to respect your need to include legitimate migrants.</t>
  </si>
  <si>
    <t>But the more you insist we compromise our national cohesion, the less I can accept their lack of acculturation.</t>
  </si>
  <si>
    <t>The more you affirm my need for safety from xenophobic gun violence, the easier to respect your need to arm yourselves.</t>
  </si>
  <si>
    <t>But the more you insist we be vulnerable without gun control, the less I can serve your need for locally controlled safety.</t>
  </si>
  <si>
    <t>The more you affirm my need to self-sufficiently arm myself, the easier to respect your need for gun control protections.</t>
  </si>
  <si>
    <t>But the more you insist we trust our safety to authorities, the less I can roll with your invasive background checks.</t>
  </si>
  <si>
    <t>The more you affirm my need to avoid stigmatization, the easier to respect your need to speak for the unborn.</t>
  </si>
  <si>
    <t>But the more you threaten my reproductive health, the less I can respect your need to curb demand for abortion.</t>
  </si>
  <si>
    <t>The more you affirm my need to speak for the unborn, the easier to respect your need to avoid becoming stigmatized.</t>
  </si>
  <si>
    <t>But the more our daughters have secret abortions, the less I can respect your need to access any abortion clinic.</t>
  </si>
  <si>
    <t>But the more you limit my access to basic affordable care, the less I can respect your need for market based healthcare.</t>
  </si>
  <si>
    <t>The more you affirm my need to optimize my health, the easier to respect your need for effective healthcare.</t>
  </si>
  <si>
    <t>The more you help us stop over-criminalizing our communities, the easier to respect your need to ease up legal restrictions.</t>
  </si>
  <si>
    <t>But the more you insist it's all about personal responsibility, the less I can serve your need for unfettered police patrols.</t>
  </si>
  <si>
    <t>The more you affirm my need for taking internal responsibility, the easier to respect your need to see external factors in crime.</t>
  </si>
  <si>
    <t>But the more you insist we reinvent public safety, the less certain I can see your needs as different from mine.</t>
  </si>
  <si>
    <t>The more you support our full economic participation, the easier to respect your need for incentivized productivity.</t>
  </si>
  <si>
    <t>But the more you insist we pull ourselves up by our bootstraps, the less I can trust your invisible hand of the market.</t>
  </si>
  <si>
    <t>The more you affirm my need for incentivized productivity, the easier to respect your need for full economic inclusion.</t>
  </si>
  <si>
    <t>But the more you insist we regulate all trade, the less I can accommodate your many cultural differences.</t>
  </si>
  <si>
    <t>The more you affirm my need to celebrate ethnic diversity, the easier to respect your need to be individualistically colorblind.</t>
  </si>
  <si>
    <t>But the more you insist we acculturate into white norms, the less I can defend you if implicated in racism.</t>
  </si>
  <si>
    <t>The more you affirm my need to put individuals over race, the easier to respect your need for seeing ethnic diversity.</t>
  </si>
  <si>
    <t>But the more you insist we're racist when alone together, the less I can honor your ethnic self-segregation.</t>
  </si>
  <si>
    <t>The more you affirm my need for guaranteed healthcare, the easier to respect your need to choose the best healthcare.</t>
  </si>
  <si>
    <t>But the more your health-care is a right I must cover, the less certain I can provide for your basic care.</t>
  </si>
  <si>
    <t>We freely choose our political positions after carefully reasoning each option.</t>
  </si>
  <si>
    <t>OR</t>
  </si>
  <si>
    <t>We're compelled to choose a political position that best fits our painful needs.</t>
  </si>
  <si>
    <t>SELECT YOUR ANSWER</t>
  </si>
  <si>
    <t>IN THE DROPDOWN MENU:</t>
  </si>
  <si>
    <t>RACE</t>
  </si>
  <si>
    <t>Your prioritizing psychosocial needs</t>
  </si>
  <si>
    <t>Yes, no one can fully fault their circumstances. We can always choose to respond to the worst of circumstances with disciplined reasoning. But that can never excuse imposing poor options onto others. Personal responsibility coexists with social responsibility. Politics polarize when failing to balance both.</t>
  </si>
  <si>
    <t>If reduced like this to individual choices, however, you ignore external factors under cover of reasoning. You can blame others for not reasoning choices best for you, but not for them or as available to them. You get to hate in the name of debate.</t>
  </si>
  <si>
    <t>MOUSE OVER, CLICK MOUSE, AND SELECT OPTION FROM THIS DROPDOWN LIST.</t>
  </si>
  <si>
    <t xml:space="preserve">INSTRUCTIONS: How to get the most from this </t>
  </si>
  <si>
    <t xml:space="preserve">Rational choice theory misapplied
</t>
  </si>
  <si>
    <t xml:space="preserve">Politics exist to express needs
</t>
  </si>
  <si>
    <t>This tool is interactive. Wherever you see a white field, select what best fits your experience. Then see how it changes the text below it. This text will be replaced when you select an option from the dropdown menu above.</t>
  </si>
  <si>
    <t>If freely choosing each political position, you enjoy a sense of personal freedom. You are master of your own fate. You are not compelled by anything, because that would just be an excuse to avoid the existential weight of personal responsibility.</t>
  </si>
  <si>
    <t>If compelled by painful needs, your political views resist reduction into mere beliefs. You do not choose the needs shaping your beliefs. Your needs exist and prioritize first from circumstance, and then find expression in available political views.</t>
  </si>
  <si>
    <t>Yes, no one can fully fault their circumstances or escape the reality of poor options from which to choose. No one can reduce to reasoned beliefs our contrasting priorities of personal and social needs. Personal responsibility coexists with social responsibility. Politics polarize when failing to balance both.</t>
  </si>
  <si>
    <t>This does not leave you at the mercy of circumstance, or without reasoning to rise above the worst of circumstances. You are indeed personally responsible for your choices in life, but not the narrow options imposed from outside of you. Otherwise you would get pulled into extremes.</t>
  </si>
  <si>
    <r>
      <t>Which do you</t>
    </r>
    <r>
      <rPr>
        <b/>
        <i/>
        <sz val="28"/>
        <color rgb="FFC00000"/>
        <rFont val="Arial"/>
        <family val="2"/>
      </rPr>
      <t xml:space="preserve"> </t>
    </r>
    <r>
      <rPr>
        <b/>
        <i/>
        <sz val="28"/>
        <color rgb="FF7030A0"/>
        <rFont val="Arial"/>
        <family val="2"/>
      </rPr>
      <t>think</t>
    </r>
    <r>
      <rPr>
        <b/>
        <sz val="28"/>
        <color rgb="FFC00000"/>
        <rFont val="Arial"/>
        <family val="2"/>
      </rPr>
      <t xml:space="preserve"> is more true?</t>
    </r>
  </si>
  <si>
    <t>I feel more socially accepted in public than at risk of societal rejection</t>
  </si>
  <si>
    <t>I feel more compelled to be loyal to others than compelled to express my unique self</t>
  </si>
  <si>
    <t>I feel more compelled to express my unique self than compelled to be loyal to others</t>
  </si>
  <si>
    <t>I feel my experiences are more in common with others than at odds with others</t>
  </si>
  <si>
    <t>I feel my experiences are more at odds with others than in common with others</t>
  </si>
  <si>
    <t>I feel more socially supported by my family than by those outside my family</t>
  </si>
  <si>
    <t xml:space="preserve">I feel more socially supported by those outside my family than by my family </t>
  </si>
  <si>
    <t>I feel more threatened by personal rejection than by systemic discrimination</t>
  </si>
  <si>
    <t>I feel more threatened by systemic discrimination than by personal rejection</t>
  </si>
  <si>
    <t>I feel more pressure to avoid offending others than pressure from being offended</t>
  </si>
  <si>
    <t>I feel more pressure from being offended than pressure to avoid offending others</t>
  </si>
  <si>
    <t>I feel more included in economic opportunities than excluded</t>
  </si>
  <si>
    <t>I feel more excluded from economic opportunities than included</t>
  </si>
  <si>
    <t>I feel more vulnerable from government intrusions than from widespread rejection</t>
  </si>
  <si>
    <t>I feel more vulnerable from widespread rejection than from government intrusions</t>
  </si>
  <si>
    <t>I feel more easily exploited by big business than by big government</t>
  </si>
  <si>
    <t>I feel more easily exploited by big government than by big business</t>
  </si>
  <si>
    <t>I feel more socially secure among those around me than personally free to be unique</t>
  </si>
  <si>
    <t>I feel more personally free to be unique than socially secure among those around me</t>
  </si>
  <si>
    <t>I feel more at risk of societal rejection than socially accepted in public</t>
  </si>
  <si>
    <t>“I need affordable meals.”</t>
  </si>
  <si>
    <t>“I need healthy options.”</t>
  </si>
  <si>
    <t>WIDE-YET-SHALLOW</t>
  </si>
  <si>
    <t>WIDE-THEN-DEEP</t>
  </si>
  <si>
    <t>DEEP-THEN-WIDE</t>
  </si>
  <si>
    <t>DEEP-YET-NARROW</t>
  </si>
  <si>
    <t>PROGRESSIVE LIBERAL</t>
  </si>
  <si>
    <t>CENTRIST LIBERAL</t>
  </si>
  <si>
    <t>CENTRIST CONSERVATIVE</t>
  </si>
  <si>
    <t>REACTIONARY CONSERVATIVE</t>
  </si>
  <si>
    <t>WIDE-AND-DEEP</t>
  </si>
  <si>
    <t>DEEP-AND-WIDE</t>
  </si>
  <si>
    <t>SOCIALIST</t>
  </si>
  <si>
    <t>FAR OR ALT-RIGHT</t>
  </si>
  <si>
    <t>5 to 10</t>
  </si>
  <si>
    <t>-3 to 0</t>
  </si>
  <si>
    <t>0 to 3</t>
  </si>
  <si>
    <t>-10 to -7</t>
  </si>
  <si>
    <t>-7 to -4</t>
  </si>
  <si>
    <t>4 to 7</t>
  </si>
  <si>
    <t xml:space="preserve">Your responses indicate you have a </t>
  </si>
  <si>
    <t xml:space="preserve"> psychosocial orientation. You likely express it best with </t>
  </si>
  <si>
    <t xml:space="preserve">You likely find the most comfort for your publicly affected needs among other like-minded </t>
  </si>
  <si>
    <t>Fill in each of these 10 blank fields above. Then check back here to find your estimated PSYCHOSOCIAL ORIENTATION. We all have one, shaped by our prioritizing needs. Then shaping our political views. What's yours?</t>
  </si>
  <si>
    <t>You likely find the most comfort for your publicly affected needs among other like-minded partisans and ideologues. Together, you oppose those of a different political outlook. Because they prioritize a clashing set of needs than yours. Your prioritized needs keep you different from their outlook, not reasoned arguments. But stubborn needs.</t>
  </si>
  <si>
    <t xml:space="preserve"> views. Your political outlook outwardly expresses your inward psychosocial orientation. </t>
  </si>
  <si>
    <t xml:space="preserve">I fully agree with this position </t>
  </si>
  <si>
    <t xml:space="preserve">I somewhat agree with this position </t>
  </si>
  <si>
    <t xml:space="preserve">I neither agree nor disagree with this position </t>
  </si>
  <si>
    <t xml:space="preserve">I somewhat disagree with this position </t>
  </si>
  <si>
    <t xml:space="preserve">I totally disagree with this position </t>
  </si>
  <si>
    <t>Your likely stance on IMMIGRATION:</t>
  </si>
  <si>
    <t>Your likely stance on CRIMINAL JUSTICE:</t>
  </si>
  <si>
    <t>.</t>
  </si>
  <si>
    <t>Your likely stance on CLIMATE CHANGE:</t>
  </si>
  <si>
    <t>Your likely stance on RACISM:</t>
  </si>
  <si>
    <t>Your likely stance on ECONOMY:</t>
  </si>
  <si>
    <t>Your likely stance on HEALTHCARE:</t>
  </si>
  <si>
    <t>Your likely stance on ABORTION:</t>
  </si>
  <si>
    <t>Your likely stance on GUN SAFETY:</t>
  </si>
  <si>
    <t>COMPLETE THE ITEMS ABOVE TO SEE RESULTS HERE.</t>
  </si>
  <si>
    <t>We need to deal with the few cases of racist acts and not exaggerate them for media sensationalism</t>
  </si>
  <si>
    <t>S. Together, you oppose those of a different political outlook. Because they prioritize a clashing set of needs than yours. Your prioritized needs keep you different from their outlook, not reasoned arguments. But stubborn needs.</t>
  </si>
  <si>
    <t>REVERSE RACISM</t>
  </si>
  <si>
    <t>a strong</t>
  </si>
  <si>
    <t>significant</t>
  </si>
  <si>
    <t>a moderate</t>
  </si>
  <si>
    <t>weak</t>
  </si>
  <si>
    <t>insignificant</t>
  </si>
  <si>
    <t xml:space="preserve">You show </t>
  </si>
  <si>
    <t>."</t>
  </si>
  <si>
    <t xml:space="preserve"> - "</t>
  </si>
  <si>
    <t xml:space="preserve">The more </t>
  </si>
  <si>
    <t xml:space="preserve">The more you generalize how we all should respond to the issue of </t>
  </si>
  <si>
    <t>The more you generalize how we all should respond to a politized issue, the less responsive you are to specific needs affected by that issue.</t>
  </si>
  <si>
    <t xml:space="preserve">The less responsive to specific needs affected by </t>
  </si>
  <si>
    <t xml:space="preserve">, the fewer of your </t>
  </si>
  <si>
    <t xml:space="preserve"> affected needs fully resolve</t>
  </si>
  <si>
    <t>The less responsive to specific needs affected by the political issue, the fewer of your affected needs can fully resolve.</t>
  </si>
  <si>
    <t xml:space="preserve">The fewer of your </t>
  </si>
  <si>
    <t xml:space="preserve"> issue you naturally suffer</t>
  </si>
  <si>
    <t>…</t>
  </si>
  <si>
    <t>The fewer of your issue affected needs fully resolve, the more pain around the issue you naturally suffer.</t>
  </si>
  <si>
    <t>The more pain around the issue you suffer, the more you generalize for relief with specifics-avoidant politics.</t>
  </si>
  <si>
    <t>The more you generalize for relief with specifics-avoidant politics…</t>
  </si>
  <si>
    <t xml:space="preserve">The more you generalize for relief with </t>
  </si>
  <si>
    <t xml:space="preserve"> politics, the less responsive you are to specific needs affected by </t>
  </si>
  <si>
    <t xml:space="preserve"> politics</t>
  </si>
  <si>
    <t xml:space="preserve">The more pain from unmet </t>
  </si>
  <si>
    <t xml:space="preserve"> needs, the more you generalize for relief with specifics-avoidant </t>
  </si>
  <si>
    <t xml:space="preserve"> affected needs fully resolve, the more pain around the </t>
  </si>
  <si>
    <t>So let's put that to the test. Read each political stance below, based on your answers above. Then click in the dropdown menu at the right of each item, to express how much you agree or disagree with the stated position. See the results below.</t>
  </si>
  <si>
    <t>We all feel the same need to be physically well.</t>
  </si>
  <si>
    <t xml:space="preserve">You demonstrate what anankelogy calls a "wide" psychosocial orientation. </t>
  </si>
  <si>
    <t xml:space="preserve">You demonstrate what anankelogy calls a "deep" psychosocial orientation. </t>
  </si>
  <si>
    <t xml:space="preserve">Your unmet social-needs pulls you to focus more on wider relationships, such as disadvantaged others you don't personally know. </t>
  </si>
  <si>
    <t xml:space="preserve">Your unmet self-needs pulls you to focus more on deeper relationships, like your nuclear family and devotion to God and country. </t>
  </si>
  <si>
    <t xml:space="preserve">You guard your more resolved social-needs, like group cohesion and loyalty. </t>
  </si>
  <si>
    <t xml:space="preserve">You guard your more resolved self-needs, like self-expression and authenticity. </t>
  </si>
  <si>
    <t xml:space="preserve"> correlation between your estimated psychosocial orientation and political views. </t>
  </si>
  <si>
    <t xml:space="preserve">The less you generalize for relief with </t>
  </si>
  <si>
    <t xml:space="preserve"> politics, the more responsive you are to specific needs affected by </t>
  </si>
  <si>
    <t xml:space="preserve">The more responsive to specific needs affected by </t>
  </si>
  <si>
    <t xml:space="preserve">, the more of your </t>
  </si>
  <si>
    <t xml:space="preserve">The more of your </t>
  </si>
  <si>
    <t xml:space="preserve"> affected needs fully resolve, the less pain around the </t>
  </si>
  <si>
    <t xml:space="preserve">The less pain from unmet </t>
  </si>
  <si>
    <t xml:space="preserve"> needs, the less you generalize for relief by using </t>
  </si>
  <si>
    <t xml:space="preserve"> politics as a stepping stone to address overlooked specifics.</t>
  </si>
  <si>
    <t xml:space="preserve">The less you generalize how we all should respond to the issue of </t>
  </si>
  <si>
    <t>Degeneralizing cycle cultivating love</t>
  </si>
  <si>
    <t>Generalizing cycle allowing hate</t>
  </si>
  <si>
    <t xml:space="preserve">Generalizing lets us build coalitions, by avoiding messy specifics that could undercut unifying agreement. Coalitions attract support to shape public policy around </t>
  </si>
  <si>
    <t xml:space="preserve">But generalizations gloss over the specifics necessary to fully resolve underlying needs, which would then remove the pain. </t>
  </si>
  <si>
    <t>The more you generalize, the more you feel the need to generalize, slipping into a vicious cycle.</t>
  </si>
  <si>
    <t xml:space="preserve">But alienation traps us into relying on impersonal laws to redress one another's affected needs. </t>
  </si>
  <si>
    <t xml:space="preserve">The more you remain alienated from others, the less you can resolve needs affecting each other, trapping you into a vicious cycle. </t>
  </si>
  <si>
    <t xml:space="preserve">But polarization easily sinks into mutual defensiveness that shuts down meaningful resolution of each other's affected needs. </t>
  </si>
  <si>
    <t xml:space="preserve">The more at odds with each other, the longer it can take to resolve needs, leaving you stuck in a vicious cycle. </t>
  </si>
  <si>
    <t xml:space="preserve">the issue of </t>
  </si>
  <si>
    <t>2. DEALIENATE</t>
  </si>
  <si>
    <t>1. DEGENERALIZE</t>
  </si>
  <si>
    <t>3. DEPOLARIZE</t>
  </si>
  <si>
    <t>Polarizing cycle deepening hate</t>
  </si>
  <si>
    <t>Depolarizing cycle encouraging love</t>
  </si>
  <si>
    <t>Dealienating cycle incentizing love</t>
  </si>
  <si>
    <t>Alienating cycle provoking hate</t>
  </si>
  <si>
    <t xml:space="preserve">, the more you rely on constricting laws about </t>
  </si>
  <si>
    <t xml:space="preserve">The more you rely on laws about </t>
  </si>
  <si>
    <t xml:space="preserve">, the less you engage others impacted by </t>
  </si>
  <si>
    <t xml:space="preserve">The less you engage others impacted by </t>
  </si>
  <si>
    <t xml:space="preserve">, the more you alienate others when addressing </t>
  </si>
  <si>
    <t xml:space="preserve">The less </t>
  </si>
  <si>
    <t xml:space="preserve">The more you alienate others when addressing </t>
  </si>
  <si>
    <t xml:space="preserve">, the less aware of other's needs impacted by </t>
  </si>
  <si>
    <t xml:space="preserve">The less aware of other's </t>
  </si>
  <si>
    <t xml:space="preserve"> impacted needs…</t>
  </si>
  <si>
    <t xml:space="preserve">The less aware of other’s needs impacted by </t>
  </si>
  <si>
    <t xml:space="preserve">The more aware of other’s needs impacted by </t>
  </si>
  <si>
    <t xml:space="preserve">, the less you rely on constricting laws about </t>
  </si>
  <si>
    <t xml:space="preserve">The less you rely on laws about </t>
  </si>
  <si>
    <t xml:space="preserve">, the more you engage others impacted by </t>
  </si>
  <si>
    <t xml:space="preserve">The more you engage others impacted by </t>
  </si>
  <si>
    <t xml:space="preserve">, the less you alienate others when addressing </t>
  </si>
  <si>
    <t xml:space="preserve">The less you alienate others when addressing </t>
  </si>
  <si>
    <t xml:space="preserve">, the more aware of other's needs impacted by </t>
  </si>
  <si>
    <t xml:space="preserve">The more aware of other's </t>
  </si>
  <si>
    <t>The less you generalize how we all should respond to a politized issue, the more responsive you are to specific needs affected by that issue.</t>
  </si>
  <si>
    <t>The more responsive to specific needs affected by the political issue, the morer of your affected needs can fully resolve.</t>
  </si>
  <si>
    <t>The more of your issue affected needs fully resolve, the less pain around the issue you naturally suffer.</t>
  </si>
  <si>
    <t>The less pain around the issue you suffer, the less you generalize for relief with specifics-avoidant politics.</t>
  </si>
  <si>
    <t>The less you generalize for relief with specifics-avoidant politics…</t>
  </si>
  <si>
    <t>aware of other's impacted needs by that issue…</t>
  </si>
  <si>
    <t>you rely on constricting laws for that issue.</t>
  </si>
  <si>
    <t xml:space="preserve">the more </t>
  </si>
  <si>
    <t xml:space="preserve">you rely on laws for that political issue, </t>
  </si>
  <si>
    <t xml:space="preserve">you engagage others impacted by that political issue, </t>
  </si>
  <si>
    <t xml:space="preserve">you alienate others when addressing that political issue, </t>
  </si>
  <si>
    <t xml:space="preserve">the less </t>
  </si>
  <si>
    <t>aware of other's needs affected by that issue.</t>
  </si>
  <si>
    <t>you alienate others when addressing that issue.</t>
  </si>
  <si>
    <t xml:space="preserve">aware of other's needs impacted by a politial issue, </t>
  </si>
  <si>
    <t>you engage others impacted by that particular issue.</t>
  </si>
  <si>
    <t xml:space="preserve">The more you overstate their differences on </t>
  </si>
  <si>
    <t xml:space="preserve">, the more you depict their errors with </t>
  </si>
  <si>
    <t xml:space="preserve"> as typical</t>
  </si>
  <si>
    <t xml:space="preserve">The more you depict their errors with </t>
  </si>
  <si>
    <t xml:space="preserve"> as typical, the more guarded you get toward their views on </t>
  </si>
  <si>
    <t xml:space="preserve">The more guarded you get toward their views on </t>
  </si>
  <si>
    <t xml:space="preserve"> the more they get defensive toward your views on </t>
  </si>
  <si>
    <t xml:space="preserve">The more they get defensive toward your views on </t>
  </si>
  <si>
    <t xml:space="preserve">, the more you overstate their differences on </t>
  </si>
  <si>
    <t xml:space="preserve">you overstate their differences on a politial issue, </t>
  </si>
  <si>
    <t>you depict their errors with that issue as typical.</t>
  </si>
  <si>
    <t xml:space="preserve">you depict their errors with that issue as typical, </t>
  </si>
  <si>
    <t>guarded you get toward their views on that particular issue.</t>
  </si>
  <si>
    <t xml:space="preserve">guarded you get toward their views on that political issue, </t>
  </si>
  <si>
    <t>they get defensive toward your views on that issue.</t>
  </si>
  <si>
    <t xml:space="preserve">they get defensive toward you views on that political issue, </t>
  </si>
  <si>
    <t>you overstate their differences on that issue.</t>
  </si>
  <si>
    <t>more you overstate these differences on that issue…</t>
  </si>
  <si>
    <t xml:space="preserve">The less you overstate their differences on </t>
  </si>
  <si>
    <t xml:space="preserve">The less you depict their errors with </t>
  </si>
  <si>
    <t xml:space="preserve">The less guarded you get toward their views on </t>
  </si>
  <si>
    <t xml:space="preserve">The less they get defensive toward your views on </t>
  </si>
  <si>
    <t xml:space="preserve">, the less you depict their errors with </t>
  </si>
  <si>
    <t xml:space="preserve"> as typical, the less guarded you get toward their views on </t>
  </si>
  <si>
    <t xml:space="preserve"> the less they get defensive toward your views on </t>
  </si>
  <si>
    <t xml:space="preserve">, the less you overstate their differences on </t>
  </si>
  <si>
    <t>If we improve access to affordable healthcare, I will respect how it could impact your current healthcare.</t>
  </si>
  <si>
    <t>If we maintain our traditional healthcare plans, I will respect its impact on your struggle to access affordable healthcare.</t>
  </si>
  <si>
    <t>If we lose our traditional insurance plans, I will expect you to appreciate the impact on our health maintenance.</t>
  </si>
  <si>
    <t>If we fail to meaningfully improve criminal justice, I will expect you to appreciate any impact on our over-policed lives.</t>
  </si>
  <si>
    <t>If subjected to extreme changes in criminal justice, I will expect you to appreciate its impact when rates of violence rise.</t>
  </si>
  <si>
    <t>If we raise taxes to pay for social programs, I will respect its potential to disincentivize your productivity.</t>
  </si>
  <si>
    <t>If we lose social programs to tax cuts benefitting mostly the wealthy, I will expect you to appreciate its painful impact on us.</t>
  </si>
  <si>
    <t>If we allow freer trade by rolling back onerous regulations, I will respect its impact on what such regulations meant for you.</t>
  </si>
  <si>
    <t xml:space="preserve">If </t>
  </si>
  <si>
    <t>If we improve criminal justice only where needed most, I will respect your fears these improvements may not be enough.</t>
  </si>
  <si>
    <t>If we fail to alert enough people of systemic racism, I will expect you to appreciate how race-based trauma still ruins lives.</t>
  </si>
  <si>
    <t>If we steadily decrease incidents of personal racism, I will respect efforts to reduce broader forms of race-based discrimination.</t>
  </si>
  <si>
    <t>If forced to pay higher taxes to pay for your social programs, I will expect you to appreciate the coercive drop in our productivity.</t>
  </si>
  <si>
    <t>If we win [TEXT], I will respect [ITS IMPACT...]</t>
  </si>
  <si>
    <t>If we [LOSE/FAIL...],I will expect you to appreciate [IMPACT].</t>
  </si>
  <si>
    <t xml:space="preserve">If we win </t>
  </si>
  <si>
    <t xml:space="preserve">I will respect </t>
  </si>
  <si>
    <t xml:space="preserve">I will expect you to appreciate </t>
  </si>
  <si>
    <t xml:space="preserve">If we </t>
  </si>
  <si>
    <t xml:space="preserve">for immigrants crossing the border, </t>
  </si>
  <si>
    <t>its impact on your border security concerns.</t>
  </si>
  <si>
    <t xml:space="preserve">lose immigrant rights, </t>
  </si>
  <si>
    <t>how devastating this can be to our impacted families and communities.</t>
  </si>
  <si>
    <t xml:space="preserve">at border security, </t>
  </si>
  <si>
    <t>its impact on the immigrants you care about crossing the border.</t>
  </si>
  <si>
    <t xml:space="preserve">lose border security, </t>
  </si>
  <si>
    <t xml:space="preserve">with environmental controls, </t>
  </si>
  <si>
    <t>how they impact your strenuously regulated life.</t>
  </si>
  <si>
    <t xml:space="preserve">fail to stem climate change, </t>
  </si>
  <si>
    <t>the alarming impact on our affected habitats.</t>
  </si>
  <si>
    <t xml:space="preserve">allow nature to correct itself, </t>
  </si>
  <si>
    <t>how my deregulated business could impact you.</t>
  </si>
  <si>
    <t xml:space="preserve">subjected further to onereous regulations, </t>
  </si>
  <si>
    <t>my reduced capacity to provide for you.</t>
  </si>
  <si>
    <t xml:space="preserve">strengthen gun control, </t>
  </si>
  <si>
    <t>its impact on your right and need to arm yourself.</t>
  </si>
  <si>
    <t xml:space="preserve">lose gun control, </t>
  </si>
  <si>
    <t>my fears of gun violence with each mass shooting.</t>
  </si>
  <si>
    <t xml:space="preserve">lose gun rights, </t>
  </si>
  <si>
    <t>its impact on my right and need to arm myself.</t>
  </si>
  <si>
    <t xml:space="preserve">reproductive rights, </t>
  </si>
  <si>
    <t>its impact on your need to give voice to the unborn.</t>
  </si>
  <si>
    <t xml:space="preserve">lose reproductive rights, </t>
  </si>
  <si>
    <t>its impact on our reproductive health needs.</t>
  </si>
  <si>
    <t xml:space="preserve">rights for the unborn, </t>
  </si>
  <si>
    <t xml:space="preserve">its impact on your reproductive health needs. </t>
  </si>
  <si>
    <t xml:space="preserve">lose rights for the unborn, </t>
  </si>
  <si>
    <t>its impact on the voiceless unborn.</t>
  </si>
  <si>
    <t>your trauma from various forms of gun violence.</t>
  </si>
  <si>
    <t>If we lose access to affordable healthcare, I will expect you to appreciate its impact on our health security.</t>
  </si>
  <si>
    <t>If we radically change policing and prosecutions, I will respect your anxiety about potentially increased rates of violence.</t>
  </si>
  <si>
    <t>If we raise awareness of systemic forms of racism, I will respect the risk of stigmatizing you for unintentional ethnic slights.</t>
  </si>
  <si>
    <t>If coerced into racial hypervigilance, I will expect you to appreciate my hard work to reduce personal acts of racism.</t>
  </si>
  <si>
    <t xml:space="preserve">I affirm your need for secure borders. And thank you for any affirmation of our need to travel freely despite status. </t>
  </si>
  <si>
    <t>I need you to feel the desperte needs of these migrants without painting them all as violent lawbreakers.</t>
  </si>
  <si>
    <t>Perhaps we can do better to screen out the most violent of these migrants who exploit our generosity.</t>
  </si>
  <si>
    <t>I need you to feel the pain of families here who have lost a loved one due to violence from illegitimate migrants.</t>
  </si>
  <si>
    <t>Perhaps we can do better to merit actual cases of migrants whose lives are at risk due to our actions.</t>
  </si>
  <si>
    <t>I need you to feel the mounting stress of small business owners choked by onerous environmental impact regulations.</t>
  </si>
  <si>
    <t>I need you to feel the despertation of the vulnerable who cannot easily relocate when their environment collapses.</t>
  </si>
  <si>
    <t>Perhaps we can do better to shift the burden of environmental impact regs away from those least able to bear them alone.</t>
  </si>
  <si>
    <t>Perhaps we can do better to identify those most vulnerable to environmental changes and who may need to relocate.</t>
  </si>
  <si>
    <t xml:space="preserve">I affirm your need to arm yourself with a standard firearm. And thank you for affirming our need to stem gun violence. </t>
  </si>
  <si>
    <t>I affirm your need to stem gun violence. And thank you for affirming our need to legitimately arm ourselves.</t>
  </si>
  <si>
    <t xml:space="preserve">I need you to feel the trauma of being shot, or the fear of my child getting shot at school, or losing a loved one to gun violence. </t>
  </si>
  <si>
    <t>Perhaps we can do better to sort out legitimate firearm self-defense from those abusing access to guns to harm others.</t>
  </si>
  <si>
    <t>Perhaps we can do better to keep the most violent among us from accessing lethal firearms.</t>
  </si>
  <si>
    <t>W=</t>
  </si>
  <si>
    <t>D=</t>
  </si>
  <si>
    <r>
      <t>W</t>
    </r>
    <r>
      <rPr>
        <sz val="9"/>
        <color theme="1"/>
        <rFont val="Calibri"/>
        <family val="2"/>
      </rPr>
      <t>−</t>
    </r>
  </si>
  <si>
    <r>
      <t>D</t>
    </r>
    <r>
      <rPr>
        <sz val="9"/>
        <color theme="1"/>
        <rFont val="Calibri"/>
        <family val="2"/>
      </rPr>
      <t>−</t>
    </r>
  </si>
  <si>
    <t>I need you to feel the constant threat of government overreach I endure, checked first by our right to personally defend ourselves.</t>
  </si>
  <si>
    <t xml:space="preserve">to counter gun control, </t>
  </si>
  <si>
    <t>I affirm your need to access reproductive health services. And thank you for affirming our need to protect the voiceless unborn.</t>
  </si>
  <si>
    <t>I affirm your need for lowering our impact on the environment. And thank you for affirming our need to roll back stifling regulations.</t>
  </si>
  <si>
    <t>I affirm your need for protecting the voiceless unborn. And thank you for affirming our need to access reproductive health services.</t>
  </si>
  <si>
    <t>I need you to feel the frustration of walking into a clinic and feeling stigmatized for prioritizing my health.</t>
  </si>
  <si>
    <t>I need you to feel the alarm of countless unnecessary terminations who potentially could develop into meaningful lives.</t>
  </si>
  <si>
    <t>Perhaps we can do better to consider all available newborn options before committing to that irreversible option.</t>
  </si>
  <si>
    <t>Perhaps we can do better to make healthcare accessible to all, without obligating every taxpayer to enable poor health habits.</t>
  </si>
  <si>
    <t>I affirm your need to access your own chosen healthcare providers. And thank you for affirming our need to access affordable care without precondition.</t>
  </si>
  <si>
    <t>I affirm your need to help migrants flee violence potentially of our making. And thank you for affirming our need to not import such violence.</t>
  </si>
  <si>
    <t>I affirm your need to access affordable healthcare. And thank you for affirming our need for maintaining responsible choices in healthcare.</t>
  </si>
  <si>
    <t>Perhaps we can do better to make healthcare accessible to all, to ensure anyone can receive the basic healthcare they need.</t>
  </si>
  <si>
    <t>I need you to feel the anxiety of choosing between expensive healthcare by going deeper into debt, or going without.</t>
  </si>
  <si>
    <t>I need you to feel the anger of having to pay higher taxes to cover expensive care for other's irresponbible health choices.</t>
  </si>
  <si>
    <t>Perhaps we can do better to provide reproductive health services without stigmatizing women for considering that irreversible option.</t>
  </si>
  <si>
    <t>I affirm your need for protection from individual acts of violence. And thank you for affirming our need to be kept safe from over-policing.</t>
  </si>
  <si>
    <t>I affirm your need to be safe from over-policing and over-prosecutions. And thank you for affirming our need to be kept safe from violent offenders.</t>
  </si>
  <si>
    <t>I need you to feel the insecurity of being targeted by violent ex-felons who repeatedly violate our property, safety and even our lives.</t>
  </si>
  <si>
    <t>I need you to feel the hopelessness of constant police profiling, its risk of police brutality and even traumatic police shootings.</t>
  </si>
  <si>
    <t>Perhaps we can do better to prevent recidivism without resorting to draconian prison sentences or other reactionary practices.</t>
  </si>
  <si>
    <t>Perhaps we can do better to stem violence without assuming every criminal act stems solely from a bad personal choice ignoring good options.</t>
  </si>
  <si>
    <t xml:space="preserve">I affirm your need for a stable habitat. And thank you for affirming our need to reduce government involvement in our otherwise industrious lives. </t>
  </si>
  <si>
    <t>I affirm your need to conduct your lives with minimal government interventions. And I thank you for affirming our need for a natural and stable habitat for all.</t>
  </si>
  <si>
    <t>I need you to feel the uncertainty our children and their children will ever be able to live on earth as adults the way we have.</t>
  </si>
  <si>
    <t>I need you to feel the tyranny of government's drip, drip, drip of increasing environmental regulations, smothering our private lives.</t>
  </si>
  <si>
    <t>Perhaps we can do better to reduce climate change without imposing regulations on those less able to adjust to them.</t>
  </si>
  <si>
    <t>Perhaps we can do better to optimize natural resources in ways that create the least impact on the world's rising temperatures.</t>
  </si>
  <si>
    <t>I affirm your need not to be shamed for every slight and ethnic insensitivity. And thank you for affirming our need to address less obvious forms of racism.</t>
  </si>
  <si>
    <t>I affirm your need to address less visible prejudices. And thank you for affirming our need not to be shamed for every unintentional slight.</t>
  </si>
  <si>
    <t>I need you to feel the trauma of being singled out for darker skin, even if done unconsciously or without ill intent.</t>
  </si>
  <si>
    <t>I need you to feel the stigmatization when labelled a racist, simply for making an unintentional race-affecting mistake.</t>
  </si>
  <si>
    <t>Perhaps we can do better to not stigmatize anyone for their unintentional mistakes, who honestly seek to improve if not labelled as bad.</t>
  </si>
  <si>
    <t>Perhaps we can do better to be sensitive to sublte forms of race-baced prejudices, and not get so defensive when it's called out.</t>
  </si>
  <si>
    <r>
      <t xml:space="preserve">Let's reverse each cycle. Let's DEGENERALIZE with </t>
    </r>
    <r>
      <rPr>
        <b/>
        <sz val="10"/>
        <color theme="1"/>
        <rFont val="Arial Narrow"/>
        <family val="2"/>
      </rPr>
      <t>relational knowing</t>
    </r>
    <r>
      <rPr>
        <sz val="10"/>
        <color theme="1"/>
        <rFont val="Arial Narrow"/>
        <family val="2"/>
      </rPr>
      <t xml:space="preserve">. Let's DEALIENATE with </t>
    </r>
    <r>
      <rPr>
        <b/>
        <sz val="10"/>
        <color theme="1"/>
        <rFont val="Arial Narrow"/>
        <family val="2"/>
      </rPr>
      <t>impact engaging</t>
    </r>
    <r>
      <rPr>
        <sz val="10"/>
        <color theme="1"/>
        <rFont val="Arial Narrow"/>
        <family val="2"/>
      </rPr>
      <t xml:space="preserve">. Let's DEPOLARIZE with </t>
    </r>
    <r>
      <rPr>
        <b/>
        <sz val="10"/>
        <color theme="1"/>
        <rFont val="Arial Narrow"/>
        <family val="2"/>
      </rPr>
      <t>value framing</t>
    </r>
    <r>
      <rPr>
        <sz val="10"/>
        <color theme="1"/>
        <rFont val="Arial Narrow"/>
        <family val="2"/>
      </rPr>
      <t>. Each explained below. Let's replace this hate with love.</t>
    </r>
  </si>
  <si>
    <t>Leftward stance</t>
  </si>
  <si>
    <t>Rightward stance</t>
  </si>
  <si>
    <t xml:space="preserve">My need for </t>
  </si>
  <si>
    <t>Psychosocial continuum</t>
  </si>
  <si>
    <t>Call for empathy</t>
  </si>
  <si>
    <r>
      <rPr>
        <b/>
        <sz val="24"/>
        <color rgb="FFFFFF00"/>
        <rFont val="Arial Narrow"/>
        <family val="2"/>
      </rPr>
      <t>Pain</t>
    </r>
    <r>
      <rPr>
        <b/>
        <sz val="24"/>
        <color theme="0"/>
        <rFont val="Arial Narrow"/>
        <family val="2"/>
      </rPr>
      <t xml:space="preserve"> is </t>
    </r>
    <r>
      <rPr>
        <b/>
        <i/>
        <sz val="24"/>
        <color theme="0"/>
        <rFont val="Arial Narrow"/>
        <family val="2"/>
      </rPr>
      <t>bad</t>
    </r>
    <r>
      <rPr>
        <b/>
        <sz val="24"/>
        <color theme="0"/>
        <rFont val="Arial Narrow"/>
        <family val="2"/>
      </rPr>
      <t xml:space="preserve"> and best </t>
    </r>
    <r>
      <rPr>
        <b/>
        <i/>
        <sz val="24"/>
        <color theme="0"/>
        <rFont val="Arial Narrow"/>
        <family val="2"/>
      </rPr>
      <t>avoided</t>
    </r>
    <r>
      <rPr>
        <b/>
        <sz val="24"/>
        <color theme="0"/>
        <rFont val="Arial Narrow"/>
        <family val="2"/>
      </rPr>
      <t>.</t>
    </r>
  </si>
  <si>
    <r>
      <rPr>
        <b/>
        <sz val="24"/>
        <color rgb="FFFFFF00"/>
        <rFont val="Arial Narrow"/>
        <family val="2"/>
      </rPr>
      <t>Pain</t>
    </r>
    <r>
      <rPr>
        <b/>
        <sz val="24"/>
        <color theme="0"/>
        <rFont val="Arial Narrow"/>
        <family val="2"/>
      </rPr>
      <t xml:space="preserve"> is </t>
    </r>
    <r>
      <rPr>
        <b/>
        <i/>
        <sz val="24"/>
        <color theme="0"/>
        <rFont val="Arial Narrow"/>
        <family val="2"/>
      </rPr>
      <t>good</t>
    </r>
    <r>
      <rPr>
        <b/>
        <sz val="24"/>
        <color theme="0"/>
        <rFont val="Arial Narrow"/>
        <family val="2"/>
      </rPr>
      <t xml:space="preserve"> and best </t>
    </r>
    <r>
      <rPr>
        <b/>
        <i/>
        <sz val="24"/>
        <color theme="0"/>
        <rFont val="Arial Narrow"/>
        <family val="2"/>
      </rPr>
      <t>embraced</t>
    </r>
    <r>
      <rPr>
        <b/>
        <sz val="24"/>
        <color theme="0"/>
        <rFont val="Arial Narrow"/>
        <family val="2"/>
      </rPr>
      <t>.</t>
    </r>
  </si>
  <si>
    <t>EMPTY:</t>
  </si>
  <si>
    <t>BAD, AVOIDED:</t>
  </si>
  <si>
    <t>GOOD, EMBRACED:</t>
  </si>
  <si>
    <t>The more you generalize for relief, the less your specific needs resolve. The more you are then tempted to be dependent on political generalizations for relief.</t>
  </si>
  <si>
    <t xml:space="preserve">The further the gap between your self-needs and social-needs, the further you slide politically </t>
  </si>
  <si>
    <t xml:space="preserve">Your specific needs are unlike theirs. You specifically need differently from </t>
  </si>
  <si>
    <t>other conservatives.</t>
  </si>
  <si>
    <t>others.</t>
  </si>
  <si>
    <t>The more you feel you must avoid pain, as something bad, the more likely you will accept the generalization from political leaders offering relief. Relieving your pain with their political generalizations rarely results in resolving your specific needs.</t>
  </si>
  <si>
    <t>The more you embrace pain, as a good messenger to warn of unpleasant threats, the less likely you will accept generalizations from political leaders. As your specific needs fully resolve, generalizations become less appealing.</t>
  </si>
  <si>
    <t xml:space="preserve">other liberals. </t>
  </si>
  <si>
    <t xml:space="preserve">leftward. </t>
  </si>
  <si>
    <t xml:space="preserve">rightward. </t>
  </si>
  <si>
    <t xml:space="preserve"> Trusting politics can trap you in pain.</t>
  </si>
  <si>
    <t xml:space="preserve">to extremes. </t>
  </si>
  <si>
    <t>Political leaders count on you to trust their one-size-fits-all generalizations. Do you trust their generalizations to ease your pain? Or do you fault these generalizations for keeping you in pain by overlooking your specific needs?</t>
  </si>
  <si>
    <t xml:space="preserve">The more your specific needs fully resolve, the more fully you can function. The less your specific needs fully resolve, the less you can fully function. The more your life fully functions, the less you "need" or become dependent on politics. As soon as you feel the pain of an unmet need, you promptly seek to resolve it, and move on. Any political generalization serves only as a bridge to address specific needs. </t>
  </si>
  <si>
    <t>By the way…</t>
  </si>
  <si>
    <t>We will demonstrate respect for your side's needs to model how you are to respect ours, to raise optimal functioning of us all.</t>
  </si>
  <si>
    <t>You have to respect our needs first, or we will not respect yours, as we fault your side for keeping us in pain of unmet needs.</t>
  </si>
  <si>
    <t>Which do you prefer?</t>
  </si>
  <si>
    <t>NATURE CORRECTS</t>
  </si>
  <si>
    <t>With greater access to resources, your needs resolve more fully. You can both get what you need on your own and  get what you need through others. Your self-needs resolve on par with your social-needs. You enjoy more psychosocial eqilibrium. This can help explain why you are drawn to politially centrist positions (like neoliberal economics). But your centrist generalizations fail to speak to those whose needs do not resolve a well as yours in their specific social situations.</t>
  </si>
  <si>
    <t xml:space="preserve">This wording helps me relate better to both sides of </t>
  </si>
  <si>
    <t xml:space="preserve"> politics.</t>
  </si>
  <si>
    <t xml:space="preserve">Now I can better understand </t>
  </si>
  <si>
    <t xml:space="preserve">This wording helps me let go of trusted </t>
  </si>
  <si>
    <t xml:space="preserve"> generalizations.</t>
  </si>
  <si>
    <t xml:space="preserve"> politics' competing priorities.</t>
  </si>
  <si>
    <t>I neither agree nor disagree</t>
  </si>
  <si>
    <t>I fully agree</t>
  </si>
  <si>
    <t>I somewhat agree</t>
  </si>
  <si>
    <t xml:space="preserve">I somewhat disagree </t>
  </si>
  <si>
    <t>I totally disagree</t>
  </si>
  <si>
    <t>low</t>
  </si>
  <si>
    <t>high</t>
  </si>
  <si>
    <t>immigration</t>
  </si>
  <si>
    <t>climate change</t>
  </si>
  <si>
    <t>gun safety</t>
  </si>
  <si>
    <t>abortion</t>
  </si>
  <si>
    <t>healthcare</t>
  </si>
  <si>
    <t>criminal justice</t>
  </si>
  <si>
    <t>economy</t>
  </si>
  <si>
    <t>racism</t>
  </si>
  <si>
    <t>moderate</t>
  </si>
  <si>
    <t xml:space="preserve">You are now in a </t>
  </si>
  <si>
    <t xml:space="preserve"> priorities. </t>
  </si>
  <si>
    <t xml:space="preserve"> generalizations, so all sides can more freely resolve their specific </t>
  </si>
  <si>
    <t xml:space="preserve"> needs. </t>
  </si>
  <si>
    <t xml:space="preserve">Lead with the higher authority of resolved needs. </t>
  </si>
  <si>
    <t xml:space="preserve">Lead them in empathizing with competing </t>
  </si>
  <si>
    <t xml:space="preserve">Lead them in how you rely less on </t>
  </si>
  <si>
    <t xml:space="preserve"> position to "lead" your political leaders. </t>
  </si>
  <si>
    <t xml:space="preserve">Lead them in relating more fully to all sides of </t>
  </si>
  <si>
    <t xml:space="preserve"> politics. </t>
  </si>
  <si>
    <t xml:space="preserve">Are you ready to escape the clutches of overgeneralizing </t>
  </si>
  <si>
    <t xml:space="preserve"> politics. Replace being led with taking the lead.</t>
  </si>
  <si>
    <t xml:space="preserve"> politics? After choosing an issue, select above how well you can agree with these radically different approaches to </t>
  </si>
  <si>
    <t xml:space="preserve">This wording helps me engage with the opposing side of </t>
  </si>
  <si>
    <t xml:space="preserve"> view. </t>
  </si>
  <si>
    <t xml:space="preserve">? After choosing an issue, select above how well you can agree with these radically different approaches to </t>
  </si>
  <si>
    <t xml:space="preserve">Are you ready to honor needs without alienating laws about </t>
  </si>
  <si>
    <t xml:space="preserve">I can now better handle losing at </t>
  </si>
  <si>
    <t>-related needs.</t>
  </si>
  <si>
    <t xml:space="preserve">Now I can be less dependent on laws requiring my response to </t>
  </si>
  <si>
    <t xml:space="preserve">Lead them by engaging actual needs on both sides of the </t>
  </si>
  <si>
    <t xml:space="preserve"> issue. </t>
  </si>
  <si>
    <t xml:space="preserve">. </t>
  </si>
  <si>
    <t xml:space="preserve">Lead in how you report and endure the negative impacts whenever losing your </t>
  </si>
  <si>
    <t xml:space="preserve"> position. </t>
  </si>
  <si>
    <t xml:space="preserve">Lead by responding directly to </t>
  </si>
  <si>
    <t xml:space="preserve"> related needs, beyond legal minimums for </t>
  </si>
  <si>
    <t xml:space="preserve">This helps me replace fighting with appreciation for the other's </t>
  </si>
  <si>
    <t xml:space="preserve"> position.</t>
  </si>
  <si>
    <t xml:space="preserve">I can cease exaggerating about the apparent worst of the opposing </t>
  </si>
  <si>
    <t xml:space="preserve">I can replace defensiveness with mutual value for resolving each other's </t>
  </si>
  <si>
    <t xml:space="preserve"> needs.</t>
  </si>
  <si>
    <t xml:space="preserve"> position to raise the standard of political leadership.  </t>
  </si>
  <si>
    <t xml:space="preserve">Lead without fighting each other's </t>
  </si>
  <si>
    <t xml:space="preserve">Lead without stereotyping the other side's mistakes about </t>
  </si>
  <si>
    <t xml:space="preserve"> as typical of them all. </t>
  </si>
  <si>
    <t xml:space="preserve">Lead without provoking their defensiveness, or getting defensive, by prioritizing resolution of each other's specific </t>
  </si>
  <si>
    <t>Allow nature to run its course. Deregulate excessive environmental codes that distort the market in regulating itself.</t>
  </si>
  <si>
    <t>one side is totally correct and the other completely wrong</t>
  </si>
  <si>
    <t>one side is mostly correct and the other mostly wrong</t>
  </si>
  <si>
    <t>one side is more correct than the other side</t>
  </si>
  <si>
    <t>both sides are an equal mix of correct stuff and wrong stuff</t>
  </si>
  <si>
    <t>all sides are mostly correct with some errors</t>
  </si>
  <si>
    <t>all sides are more wrong than right</t>
  </si>
  <si>
    <t>all sides are completely wrong</t>
  </si>
  <si>
    <t>FIRST STEP ACT REHAB</t>
  </si>
  <si>
    <t>SWOT personalized</t>
  </si>
  <si>
    <t xml:space="preserve"> for the politicized issue of </t>
  </si>
  <si>
    <t xml:space="preserve">You're likely a political centrist favoring negotiated compromise on most issues. Your psychosocial needs likely endure only mild tension. </t>
  </si>
  <si>
    <t xml:space="preserve">You're likely a loyal partisan who can admit your side's shortcomings. Your psychosocial imbalance is probably moderate. </t>
  </si>
  <si>
    <t xml:space="preserve">You're likely uncommitted to any political side, and perhaps wary of politics in general. You may enjoy psychosocial balance, or not. </t>
  </si>
  <si>
    <t xml:space="preserve">You're likely disillusioned with politics, or at least with political polarization. You guard your psychosocial needs from its arbitrary track. </t>
  </si>
  <si>
    <t xml:space="preserve">You're likely completely disgusted with politics. As far as you're concerned, it does nothing for your psychosocial needs. </t>
  </si>
  <si>
    <t xml:space="preserve">Instead of reacting to others with a different </t>
  </si>
  <si>
    <t xml:space="preserve"> view, or avoiding politics altogether, consider the viable alternative of responding to each other's needs behind the political rhetoric. You can listen for their </t>
  </si>
  <si>
    <t xml:space="preserve"> impacted needs without agreeing how you or others should respond to them. Their needs in how they experience </t>
  </si>
  <si>
    <t xml:space="preserve"> will not go away when ignored, but persist even more painfully. So let us be more mature in how we respond to them, modeling how others are to respond to yours. </t>
  </si>
  <si>
    <t>SELECT FROM THE DROPDOWN MENU ABOVE YOUR ORIGINAL VIEW OF POLITICS.</t>
  </si>
  <si>
    <t xml:space="preserve">extremists on either side who refuse to compromise </t>
  </si>
  <si>
    <t>neoliberal centrists corrupted by corporatist donor class</t>
  </si>
  <si>
    <t>left populists trying to further expand government's reach</t>
  </si>
  <si>
    <t>right populists trying to roll back federal social programs</t>
  </si>
  <si>
    <t>mainstream media serving their politically biased corporatist masters</t>
  </si>
  <si>
    <t xml:space="preserve">social media with its money-making echo chamber algorithms </t>
  </si>
  <si>
    <t>each of us for indulging in outrage culture</t>
  </si>
  <si>
    <t xml:space="preserve">divisive politicians who court our votes with negative ads </t>
  </si>
  <si>
    <t>not as much of a problem as pundits claim</t>
  </si>
  <si>
    <t xml:space="preserve">Yes, polarization stems in part from political extremes. </t>
  </si>
  <si>
    <t xml:space="preserve">Yes, polarization stems in part from centrist stagnation. </t>
  </si>
  <si>
    <t xml:space="preserve">Yes, polarization stems in part from left wing populism. </t>
  </si>
  <si>
    <t xml:space="preserve">Polarization also feeds on mainstream media. </t>
  </si>
  <si>
    <t xml:space="preserve">Polarization also feeds on echo chambers. </t>
  </si>
  <si>
    <t xml:space="preserve">Polarization also feeds on outrage culture. </t>
  </si>
  <si>
    <t xml:space="preserve">Polarization also feeds on divisive politicians. </t>
  </si>
  <si>
    <t xml:space="preserve">Polarization can be exaggerated as a problem. </t>
  </si>
  <si>
    <t xml:space="preserve"> The more connected and honest with others, the more fully you can resolve your </t>
  </si>
  <si>
    <t xml:space="preserve"> needs. There is no such thing as pain apart from unresolved needs. Resolved needs liberate you.</t>
  </si>
  <si>
    <t xml:space="preserve">It's easier to blame others, while guarding our vulnerable needs, than own our own role in it. We fuel polarization when resisting life's natural pull toward psychosocial equilibrium. Equally resolving your self-needs and social-needs dissolves </t>
  </si>
  <si>
    <t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t>
  </si>
  <si>
    <t xml:space="preserve">I fully trust politics to serve my publicly affected needs. </t>
  </si>
  <si>
    <t xml:space="preserve">I cautiously trust politics to serve my publicly affected needs. </t>
  </si>
  <si>
    <t xml:space="preserve">I neither trust nor distrust politics to honor my publicly affected needs. </t>
  </si>
  <si>
    <t xml:space="preserve">I mostly distrust politics to respect my publicly affected needs. </t>
  </si>
  <si>
    <t>I completely distrust politics to respect my publicly affected needs</t>
  </si>
  <si>
    <t xml:space="preserve">You're likely a political junkie or policy wonk. You trust politics to help solve just about any </t>
  </si>
  <si>
    <t xml:space="preserve"> problem. </t>
  </si>
  <si>
    <t xml:space="preserve"> problems. </t>
  </si>
  <si>
    <t xml:space="preserve">You likely follow all levels of a political campaign. You put up with politics as the best means to address </t>
  </si>
  <si>
    <t xml:space="preserve">You likely listen to political news skeptically, if at all. You wish for something better than politics to address </t>
  </si>
  <si>
    <t xml:space="preserve">You likely ignore political news and only vote once every four years. You doubt politics can truly solve any </t>
  </si>
  <si>
    <t xml:space="preserve">You're likely disillusioned with politics and don't even vote. You're convinced politics can never solve any </t>
  </si>
  <si>
    <t xml:space="preserve"> views provides you opportunity. You can create value for them from the solid ground of your </t>
  </si>
  <si>
    <t xml:space="preserve"> strengths. They can reciprocate by providing value to you for your political weakness. In short, instead of debating who sounds right, you both go directly to the needs politics aims to address.</t>
  </si>
  <si>
    <t>Immigration</t>
  </si>
  <si>
    <t>Climate change</t>
  </si>
  <si>
    <t>Gun safety</t>
  </si>
  <si>
    <t>Abortion</t>
  </si>
  <si>
    <t>Healthcare</t>
  </si>
  <si>
    <t>Criminal justice</t>
  </si>
  <si>
    <t>Economy</t>
  </si>
  <si>
    <t>Racism</t>
  </si>
  <si>
    <t xml:space="preserve">reveal more about each other’s social-needs than self-needs. Guarding their more resolved needs with established specifics reveals their political strength. Relieving their less resolved needs with sweeping generalizations exposes their political weakness. </t>
  </si>
  <si>
    <t xml:space="preserve">No matter how you feel about politics, this SWOT tool can add discipline to an otherwise free-for-all mess. </t>
  </si>
  <si>
    <t xml:space="preserve">The other side's political weakness around their </t>
  </si>
  <si>
    <t xml:space="preserve"> strengths. Let them reciprocate by providing value to your political weakness. In short, overcome polarization by demanding less, giving more.</t>
  </si>
  <si>
    <t>Harmony Politics counters political polarization by treating each element found in our definition for politics. Politics can then be less of a stumbling block and more of a stepping stone, to bridge your respect with their respect for each other's politicized needs.</t>
  </si>
  <si>
    <r>
      <rPr>
        <sz val="30"/>
        <color rgb="FFFFFF00"/>
        <rFont val="Arial Black"/>
        <family val="2"/>
      </rPr>
      <t>PAIN</t>
    </r>
    <r>
      <rPr>
        <sz val="30"/>
        <color rgb="FFFF3C3C"/>
        <rFont val="Arial Black"/>
        <family val="2"/>
      </rPr>
      <t xml:space="preserve"> POINTS ON EACH </t>
    </r>
    <r>
      <rPr>
        <sz val="30"/>
        <color rgb="FFFF99FF"/>
        <rFont val="Arial Black"/>
        <family val="2"/>
      </rPr>
      <t>SIDE</t>
    </r>
  </si>
  <si>
    <t>I only care about my own political side, and likely will keep it that way.</t>
  </si>
  <si>
    <t xml:space="preserve">I want to learn about the pain of the other side only if they first learn of my pain. </t>
  </si>
  <si>
    <t>I am willing to do what I can to reduce their pain and then wait for them to reciprocate.</t>
  </si>
  <si>
    <t>I am ready to take the lead to address the pain on both sides, even if others fail to respond.</t>
  </si>
  <si>
    <t>I am eager to be among the first to risk trying this new way to resolve political polarization.</t>
  </si>
  <si>
    <t xml:space="preserve">Here is our challenge: To compete with one another not to score political gains but to measurably resolve the most needs in each other. This includes the challenge for who can hold out the longest to endure the pain of unresolved needs, to fully resolve those needs. Those who slip back into prioritizing pain relief will lose, as that permits these needs to later create more pain. Let's turn this challenge into an opportunity to create compelling value for us all. </t>
  </si>
  <si>
    <t>Victory would go to who resolves the most needs. Who would earn the right to lead politically, surpassing the old divisive politics guard. In the process, we would raise political standards. Starting with these eight issues.</t>
  </si>
  <si>
    <t>Victory could go to who resolves the most needs. Who could earn the right to lead politically, surpassing the old divisive politics guard. In the process, we could raise political standards. Starting with these eight issues.</t>
  </si>
  <si>
    <t>Victory should go to who resolves the most needs. They should earn the right to lead politically, surpassing the old divisive politics guard. In the process, we can start raising the standard, using these eight political issues.</t>
  </si>
  <si>
    <t>Victory will go to who resolves the most needs. They will earn the right to lead politically, surpassing the old divisive politics guard. In the process, we raise the standard for politics. Let's try it with eight key issues.</t>
  </si>
  <si>
    <t>Victory goes to who resolve the most needs. They earn the right to lead politically, surpassing the old divisive politics guard. In the process, we will raise the standard on politics. Try it with these eight issues.</t>
  </si>
  <si>
    <t xml:space="preserve">By enduring the short-term hardship of resolving needs over relieving its pain, I would win and you lose. But overall we all would win with a raised level of personal and shared functioning. But if you endured longer than me, to absorb the difficulties of resolving more needs than me, then you would win and I lose. In the long run, we would still boost each other's level of functioning in life. </t>
  </si>
  <si>
    <t xml:space="preserve">If I endured the short-term hardship of resolving needs over relieving its pain, I'd win and you would lose. In the long run, we all win with a raised level of personal and shared functioning. If you endured longer than me, to overcome the difficulties of resolving more needs than me, then you'd win and I'd lose. In the long run, we still boost each other's level of functioning in life. </t>
  </si>
  <si>
    <t xml:space="preserve">If I can endure in the short-term the hardship of resolving needs over relieving its pain, I win and you lose. In the long run, we all win with a raised level of personal and shared functioning. If you can endure longer than me, to overcome the difficulties of resolving more needs than me, then you win and I lose. In the long run, we still boost each other's level of functioning in life. </t>
  </si>
  <si>
    <t xml:space="preserve">If I endure in the short-term the hardship of resolving needs over relieving its pain, I win and you lose. In the long run, we all win with a raised level of personal and shared functioning. If you endure longer than me, to overcome the difficulties of resolving more needs than me, then you win and I lose. In the long run, we still boost each other's level of functioning in life. </t>
  </si>
  <si>
    <t xml:space="preserve">If you can work with the other political side only if they work in kind with you, okay. You likely will take this challenge after it seeing it work for others. But if you get frustrated enough with divisive politics, see how it works for others trying this. </t>
  </si>
  <si>
    <t xml:space="preserve">If you can take charge in resolving needs on all sides, you're a leader we all need. You are well suited for this challenge. Join us in leading the way to replace divisive politics with this challenge to resolve politicized needs. </t>
  </si>
  <si>
    <t xml:space="preserve">If you can risk failing this and learn with us to improve it, you're the leader we need. This challenge needs you to succeed. Lead the way in replacing divisive politics with this pioneering approach to resolving politicized needs. </t>
  </si>
  <si>
    <t>SELECT FROM THE DROPDOWN LIST HOW READY YOU ARE TO TRY THIS</t>
  </si>
  <si>
    <t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t>
  </si>
  <si>
    <t>Are you now ready, willing and able to accept this challenge?</t>
  </si>
  <si>
    <t>Politics exist to guide our behavior to serve needs, namely to shape laws. While no one sits above the law, no law sits above the needs it exists to serve. Whose needs are best served in how our laws are formed, interpreted, enforced, and politicized?</t>
  </si>
  <si>
    <t xml:space="preserve">If I could endure the short-term hardship of resolving needs over relieving its pain, I would win this contest. In the long run, we all would win by raising personal and shared functioning. If you could endure longer than me, to overcome the difficulties of resolving more needs than me, then you would win and I lose this contest. In the long run, we still all gain by boosting our functioning in life. </t>
  </si>
  <si>
    <t>Widespread anxiety and depression suggest our politics and our system of laws fail to properly serve our many specific needs. Such anxiety and depression arise from unmet needs, so let's look at particular pain points on both sides of eight key political issues.</t>
  </si>
  <si>
    <t>You disagree with their priority of needs?</t>
  </si>
  <si>
    <t>Keeping ourselves down</t>
  </si>
  <si>
    <t>Wellness is psychosocial</t>
  </si>
  <si>
    <t>Interactive</t>
  </si>
  <si>
    <t>Takeaway</t>
  </si>
  <si>
    <t>UNDERSTANDING POLITICS</t>
  </si>
  <si>
    <t>EIGHT KEY ISSUES</t>
  </si>
  <si>
    <t>POPULISM</t>
  </si>
  <si>
    <t>PSYCHOSOCIAL ORIENTATION</t>
  </si>
  <si>
    <t>SUMMARY</t>
  </si>
  <si>
    <t>Your prioritizing needs (reason be damned)</t>
  </si>
  <si>
    <t>Political leadership or political elitism?</t>
  </si>
  <si>
    <t>Eight key issues to apply Harmony Politics</t>
  </si>
  <si>
    <r>
      <t xml:space="preserve">Politics as usual - </t>
    </r>
    <r>
      <rPr>
        <b/>
        <i/>
        <sz val="10"/>
        <color theme="1"/>
        <rFont val="Arial Narrow"/>
        <family val="2"/>
      </rPr>
      <t>immature polarizing</t>
    </r>
  </si>
  <si>
    <r>
      <t xml:space="preserve">Harmony politics - </t>
    </r>
    <r>
      <rPr>
        <b/>
        <i/>
        <sz val="10"/>
        <color theme="1"/>
        <rFont val="Arial Narrow"/>
        <family val="2"/>
      </rPr>
      <t>mature responsiveness</t>
    </r>
  </si>
  <si>
    <t>This table of contents</t>
  </si>
  <si>
    <t>HARMONY POLITICS</t>
  </si>
  <si>
    <t>#</t>
  </si>
  <si>
    <t>$</t>
  </si>
  <si>
    <t>Understanding politics: It's about needs</t>
  </si>
  <si>
    <t xml:space="preserve">For the wide-oriented, liberalism is less about guarding self-needs (by resisting traditional historical pressures to conform to old moral norms), and more about countering the Right’s resistance to relieve the Left's less resolved social-needs. Politics is social. </t>
  </si>
  <si>
    <t xml:space="preserve">For the deep-oriented, conservatism is less about relieving self-needs (when asserting individual rights and personal responsibility), and more about countering the Left’s impact by guarding the Right's more resolved social-needs. Politics is social. </t>
  </si>
  <si>
    <t>Correlating your political views</t>
  </si>
  <si>
    <t>"</t>
  </si>
  <si>
    <t>Needs first, reasons later</t>
  </si>
  <si>
    <r>
      <t xml:space="preserve">Harmony politics - </t>
    </r>
    <r>
      <rPr>
        <b/>
        <i/>
        <sz val="20"/>
        <color rgb="FF00501E"/>
        <rFont val="Tahoma"/>
        <family val="2"/>
      </rPr>
      <t>mature responsiveness</t>
    </r>
  </si>
  <si>
    <r>
      <rPr>
        <b/>
        <sz val="20"/>
        <color rgb="FF004623"/>
        <rFont val="Tahoma"/>
        <family val="2"/>
      </rPr>
      <t>Political leadership</t>
    </r>
    <r>
      <rPr>
        <b/>
        <sz val="20"/>
        <color rgb="FF371950"/>
        <rFont val="Tahoma"/>
        <family val="2"/>
      </rPr>
      <t xml:space="preserve"> </t>
    </r>
    <r>
      <rPr>
        <b/>
        <sz val="20"/>
        <color theme="1" tint="0.499984740745262"/>
        <rFont val="Tahoma"/>
        <family val="2"/>
      </rPr>
      <t>or</t>
    </r>
    <r>
      <rPr>
        <b/>
        <sz val="20"/>
        <color rgb="FF371950"/>
        <rFont val="Tahoma"/>
        <family val="2"/>
      </rPr>
      <t xml:space="preserve"> political elitism</t>
    </r>
    <r>
      <rPr>
        <b/>
        <sz val="20"/>
        <color theme="1" tint="0.499984740745262"/>
        <rFont val="Tahoma"/>
        <family val="2"/>
      </rPr>
      <t>?</t>
    </r>
  </si>
  <si>
    <t>water</t>
  </si>
  <si>
    <t>food</t>
  </si>
  <si>
    <t>housing</t>
  </si>
  <si>
    <t>health</t>
  </si>
  <si>
    <t>income</t>
  </si>
  <si>
    <t>safety</t>
  </si>
  <si>
    <t>fun</t>
  </si>
  <si>
    <t>travel</t>
  </si>
  <si>
    <t xml:space="preserve">To illustrate this point, consider your need for </t>
  </si>
  <si>
    <t xml:space="preserve">. We all need </t>
  </si>
  <si>
    <t xml:space="preserve">Click on </t>
  </si>
  <si>
    <t xml:space="preserve"> white field below to change this illustration. See how we all share the same core-needs. But diverge in how we ease such needs.</t>
  </si>
  <si>
    <r>
      <t xml:space="preserve">We believe what we </t>
    </r>
    <r>
      <rPr>
        <b/>
        <i/>
        <sz val="20"/>
        <color rgb="FFEBDCFF"/>
        <rFont val="Tahoma"/>
        <family val="2"/>
      </rPr>
      <t>need</t>
    </r>
    <r>
      <rPr>
        <b/>
        <sz val="20"/>
        <color rgb="FFEBDCFF"/>
        <rFont val="Tahoma"/>
        <family val="2"/>
      </rPr>
      <t xml:space="preserve"> to believe</t>
    </r>
  </si>
  <si>
    <t>Harmonizing diverse politicized needs</t>
  </si>
  <si>
    <t>Key points for you to take away from this tool</t>
  </si>
  <si>
    <t xml:space="preserve">Political differences express inflexibly different priorities of needs, so debating polarizes more than persuades. </t>
  </si>
  <si>
    <t>Political generalizing prioritizes relief from pain than resolving needs that could remove such pain.</t>
  </si>
  <si>
    <t>I am…</t>
  </si>
  <si>
    <t>And I</t>
  </si>
  <si>
    <t xml:space="preserve"> am</t>
  </si>
  <si>
    <t xml:space="preserve"> ready to apply this</t>
  </si>
  <si>
    <t>content with learning this</t>
  </si>
  <si>
    <t>ready to apply it with others</t>
  </si>
  <si>
    <t>ready to earn $ applying it</t>
  </si>
  <si>
    <t>keeping what I learned to myself</t>
  </si>
  <si>
    <t>ready to share on social media</t>
  </si>
  <si>
    <t>ready to tell others in person</t>
  </si>
  <si>
    <t>family members &amp; friends</t>
  </si>
  <si>
    <t>to media pundits</t>
  </si>
  <si>
    <t>my elected officials</t>
  </si>
  <si>
    <t>need to first learn more about its earning potential</t>
  </si>
  <si>
    <t>prefer to learn from others trying this</t>
  </si>
  <si>
    <t>am ready to get started with this process</t>
  </si>
  <si>
    <t>FIRST SELECT ITEM AT LEFT</t>
  </si>
  <si>
    <r>
      <t xml:space="preserve">Cultivate your own political leadership from within, using </t>
    </r>
    <r>
      <rPr>
        <b/>
        <sz val="14"/>
        <color rgb="FF009641"/>
        <rFont val="Tahoma"/>
        <family val="2"/>
      </rPr>
      <t>Harmony</t>
    </r>
    <r>
      <rPr>
        <b/>
        <sz val="14"/>
        <color theme="1"/>
        <rFont val="Tahoma"/>
        <family val="2"/>
      </rPr>
      <t xml:space="preserve"> </t>
    </r>
    <r>
      <rPr>
        <b/>
        <sz val="14"/>
        <color rgb="FF7030A0"/>
        <rFont val="Tahoma"/>
        <family val="2"/>
      </rPr>
      <t>Politics</t>
    </r>
    <r>
      <rPr>
        <sz val="14"/>
        <color theme="1"/>
        <rFont val="Tahoma"/>
        <family val="2"/>
      </rPr>
      <t xml:space="preserve"> to break the spell of political elites.</t>
    </r>
  </si>
  <si>
    <r>
      <t>Click to learn more at https://www.</t>
    </r>
    <r>
      <rPr>
        <sz val="15"/>
        <color rgb="FFA0FFCD"/>
        <rFont val="Arial Black"/>
        <family val="2"/>
      </rPr>
      <t>value</t>
    </r>
    <r>
      <rPr>
        <sz val="15"/>
        <color rgb="FFE1C8FF"/>
        <rFont val="Arial Black"/>
        <family val="2"/>
      </rPr>
      <t>relating</t>
    </r>
    <r>
      <rPr>
        <sz val="15"/>
        <color rgb="FFC8FFE1"/>
        <rFont val="Arial Black"/>
        <family val="2"/>
      </rPr>
      <t>.com</t>
    </r>
  </si>
  <si>
    <t>How?</t>
  </si>
  <si>
    <t>To use again, save a personalized version of this document to a PDF.</t>
  </si>
  <si>
    <t>Harmony Politics instructions</t>
  </si>
  <si>
    <t>Table of Contents</t>
  </si>
  <si>
    <t>We believe what we need to believe</t>
  </si>
  <si>
    <t>Beyond Left and Right populism</t>
  </si>
  <si>
    <r>
      <t>Relational knowing</t>
    </r>
    <r>
      <rPr>
        <b/>
        <sz val="10"/>
        <color theme="1" tint="0.499984740745262"/>
        <rFont val="Arial Narrow"/>
        <family val="2"/>
      </rPr>
      <t xml:space="preserve"> (vs. relieve believe)</t>
    </r>
  </si>
  <si>
    <r>
      <t>Impact Engaging</t>
    </r>
    <r>
      <rPr>
        <b/>
        <sz val="10"/>
        <color theme="1" tint="0.499984740745262"/>
        <rFont val="Arial Narrow"/>
        <family val="2"/>
      </rPr>
      <t xml:space="preserve"> (vs. impersonal compliance)</t>
    </r>
  </si>
  <si>
    <r>
      <t>Value framing</t>
    </r>
    <r>
      <rPr>
        <b/>
        <sz val="10"/>
        <color theme="1" tint="0.499984740745262"/>
        <rFont val="Arial Narrow"/>
        <family val="2"/>
      </rPr>
      <t xml:space="preserve"> (vs. mutual hostilities)</t>
    </r>
  </si>
  <si>
    <r>
      <t xml:space="preserve">POLITICS can never solve our </t>
    </r>
    <r>
      <rPr>
        <sz val="17"/>
        <color rgb="FFC8FFE1"/>
        <rFont val="Arial Black"/>
        <family val="2"/>
      </rPr>
      <t>specific</t>
    </r>
    <r>
      <rPr>
        <sz val="17"/>
        <color rgb="FFF0CDFF"/>
        <rFont val="Arial Black"/>
        <family val="2"/>
      </rPr>
      <t xml:space="preserve"> problems from the level of </t>
    </r>
    <r>
      <rPr>
        <sz val="17"/>
        <color rgb="FFFFCCCC"/>
        <rFont val="Arial Black"/>
        <family val="2"/>
      </rPr>
      <t>generalizing</t>
    </r>
    <r>
      <rPr>
        <sz val="17"/>
        <color rgb="FFF0CDFF"/>
        <rFont val="Arial Black"/>
        <family val="2"/>
      </rPr>
      <t xml:space="preserve"> that created them.</t>
    </r>
  </si>
  <si>
    <t>Can you put another's specific needs ahead of your trusted generalizations?</t>
  </si>
  <si>
    <r>
      <t>Your prioritizing needs</t>
    </r>
    <r>
      <rPr>
        <b/>
        <i/>
        <sz val="20"/>
        <color rgb="FF371950"/>
        <rFont val="Tahoma"/>
        <family val="2"/>
      </rPr>
      <t xml:space="preserve"> </t>
    </r>
    <r>
      <rPr>
        <b/>
        <i/>
        <sz val="18"/>
        <color rgb="FF371950"/>
        <rFont val="Tahoma"/>
        <family val="2"/>
      </rPr>
      <t>(reason be damned)</t>
    </r>
  </si>
  <si>
    <t xml:space="preserve"> tends to be more resolved than my need for </t>
  </si>
  <si>
    <t>RACISM</t>
  </si>
  <si>
    <t>Seek both: personal &amp; social needs relatively equally.</t>
  </si>
  <si>
    <t>Prioritizing your psychosocial needs</t>
  </si>
  <si>
    <t>Dissolving pain of divisive tribal politics</t>
  </si>
  <si>
    <r>
      <t>Relational knowing</t>
    </r>
    <r>
      <rPr>
        <b/>
        <sz val="20"/>
        <color rgb="FF5AFFA0"/>
        <rFont val="Tahoma"/>
        <family val="2"/>
      </rPr>
      <t xml:space="preserve"> </t>
    </r>
    <r>
      <rPr>
        <b/>
        <sz val="18"/>
        <color rgb="FF5AFFA0"/>
        <rFont val="Tahoma"/>
        <family val="2"/>
      </rPr>
      <t>(v. relieve believe)</t>
    </r>
  </si>
  <si>
    <r>
      <t>Impact engaging</t>
    </r>
    <r>
      <rPr>
        <b/>
        <sz val="20"/>
        <color rgb="FF5AFFA0"/>
        <rFont val="Tahoma"/>
        <family val="2"/>
      </rPr>
      <t xml:space="preserve"> </t>
    </r>
    <r>
      <rPr>
        <b/>
        <sz val="18"/>
        <color rgb="FF5AFFA0"/>
        <rFont val="Tahoma"/>
        <family val="2"/>
      </rPr>
      <t>(v. impersonal compliance)</t>
    </r>
  </si>
  <si>
    <r>
      <t xml:space="preserve">Value framing </t>
    </r>
    <r>
      <rPr>
        <b/>
        <sz val="18"/>
        <color rgb="FF5AFFA0"/>
        <rFont val="Tahoma"/>
        <family val="2"/>
      </rPr>
      <t>(v. mutual hostilities)</t>
    </r>
  </si>
  <si>
    <t xml:space="preserve">This is the first version of this tool. You can expect it to be revised, as we learn from each other. Remember, politics exist for you and your needs. You and your needs do not exist for politics. </t>
  </si>
  <si>
    <t>Look for the "I" in a green circle, at the right, to indicate each Interactive feature. Your input brings this information alive with your own lived experiences. We aim to be as specific as possible. This interactive feature lets its insights be more specific to your life.</t>
  </si>
  <si>
    <t xml:space="preserve">, but get it in different ways. Likewise, we all need protection from threats, but some of us depend more on government security services than others. And for different things. </t>
  </si>
  <si>
    <t>I buy stuff made by all kinds of people I indirectly must trust.</t>
  </si>
  <si>
    <t xml:space="preserve">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t>
  </si>
  <si>
    <t>SELECT OPTIONS ABOVE TO ESTIMATE YOUR PRIORITIZING PSYCHOSOCIAL NEEDS</t>
  </si>
  <si>
    <t xml:space="preserve">Your inflexible needs orient your focus. We each experience this as a psychosocial orientation. </t>
  </si>
  <si>
    <t>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t>
  </si>
  <si>
    <t xml:space="preserve">political opponents. </t>
  </si>
  <si>
    <r>
      <t xml:space="preserve">The distinction between </t>
    </r>
    <r>
      <rPr>
        <i/>
        <sz val="12"/>
        <color theme="1"/>
        <rFont val="Arial"/>
        <family val="2"/>
      </rPr>
      <t>liberal left</t>
    </r>
    <r>
      <rPr>
        <sz val="12"/>
        <color theme="1"/>
        <rFont val="Arial"/>
        <family val="2"/>
      </rPr>
      <t xml:space="preserve"> and </t>
    </r>
    <r>
      <rPr>
        <i/>
        <sz val="12"/>
        <color theme="1"/>
        <rFont val="Arial"/>
        <family val="2"/>
      </rPr>
      <t>conservative right</t>
    </r>
    <r>
      <rPr>
        <sz val="12"/>
        <color theme="1"/>
        <rFont val="Arial"/>
        <family val="2"/>
      </rPr>
      <t xml:space="preserve"> increasingly takes a back seat to the distinction between political elites of either side and objectified voters whose politicized needs rarely resolve. Supposedly because "it's political." No, it is not.</t>
    </r>
  </si>
  <si>
    <t>Political leaders and elites commonly presume you need them for your public-facing needs. They appeal to your "arguments" or your feelings for support, for votes, for political cover. They count on you relying on their generalizations for relief of these social-needs. They avoid your specifics to hold together fragile coalitions. The less your specific needs resolve, the more stuck you are in pain. Do you really need them? Or instead to resolve your needs by any responsible means necessary?</t>
  </si>
  <si>
    <t>Popular politics rarely if ever inspires you to equally resolve your self-needs and social-needs. Instead, it easily polarizes you into camps of competing psychosocial priorities. Instead of encouraging wisdom of personal AND social responsibilities, it pits your needs against others. Instead of the high standard of fully resolving each other's needs as an act of noble love, it settles for pragmatically easing the discomfort of each other's unresolved needs. It typically keeps you in pain.</t>
  </si>
  <si>
    <t xml:space="preserve">The lateral left-right tension gives way to the vertical elite-populace tension. In this age of instant information on the Internet, the rallying role of political leaders slips increasingly into obsolence. In other words, the populace can now say to political elites, "Don't tell us what we need, we'll tell you. Moreover, don't insult us with your power-grabbing generalizations. If you can't cover our specifics, we will. We'll bypass you to resolve needs to remove its pain. We'll now lead ourselves, thank you."
</t>
  </si>
  <si>
    <t>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t>
  </si>
  <si>
    <t xml:space="preserve">If you must cling to political loyalty, then you are being true to your convictions. You likely will reject this challenge. But if you get frustrated to the point of exasperation with divisive politics, revisit this challenge to resolve politicized needs. </t>
  </si>
  <si>
    <t xml:space="preserve">If you condition your openness to their pain to their openness to yours, alright. You may not be up to this challenge. But when frustrated to the point of disillusionment with divisive politics, reconsider this challenge to resolve politicized needs. </t>
  </si>
  <si>
    <t xml:space="preserve">Yes, polarization stems in part from right wing populism. </t>
  </si>
  <si>
    <t xml:space="preserve">Alienation is the byproduct of our highly individualistic privacy, so we can do our own things without intrusion from others. Privacy lets us set our terms for handling </t>
  </si>
  <si>
    <t xml:space="preserve">Polarization is the common outcome when fighting for our opposing rights, to fight for a piece of the public pie. It tends to bring out more voices affected by </t>
  </si>
  <si>
    <t xml:space="preserve">You're likely an ideologically committed partisan, fighting for what's right. You also likely suffer more psychosocial imbalance. </t>
  </si>
  <si>
    <t xml:space="preserve">You're likely trusting of politics yet mildly disillusioned with contentious politics. Your psychosocial needs resist such polarization. </t>
  </si>
  <si>
    <r>
      <rPr>
        <b/>
        <sz val="9"/>
        <color rgb="FFC00000"/>
        <rFont val="Tahoma"/>
        <family val="2"/>
      </rPr>
      <t>DEEP</t>
    </r>
    <r>
      <rPr>
        <b/>
        <sz val="9"/>
        <color theme="1"/>
        <rFont val="Tahoma"/>
        <family val="2"/>
      </rPr>
      <t xml:space="preserve"> </t>
    </r>
    <r>
      <rPr>
        <b/>
        <sz val="9"/>
        <color rgb="FF00B050"/>
        <rFont val="Tahoma"/>
        <family val="2"/>
      </rPr>
      <t>strength</t>
    </r>
  </si>
  <si>
    <r>
      <rPr>
        <b/>
        <sz val="9"/>
        <color rgb="FFC00000"/>
        <rFont val="Tahoma"/>
        <family val="2"/>
      </rPr>
      <t>DEEP</t>
    </r>
    <r>
      <rPr>
        <b/>
        <sz val="9"/>
        <color theme="1"/>
        <rFont val="Tahoma"/>
        <family val="2"/>
      </rPr>
      <t xml:space="preserve"> </t>
    </r>
    <r>
      <rPr>
        <b/>
        <sz val="9"/>
        <color rgb="FF00B050"/>
        <rFont val="Tahoma"/>
        <family val="2"/>
      </rPr>
      <t>opportunity</t>
    </r>
  </si>
  <si>
    <r>
      <t xml:space="preserve">The </t>
    </r>
    <r>
      <rPr>
        <i/>
        <sz val="10.5"/>
        <color rgb="FFFF9999"/>
        <rFont val="Arial"/>
        <family val="2"/>
      </rPr>
      <t>more</t>
    </r>
    <r>
      <rPr>
        <sz val="10.5"/>
        <color rgb="FFFF9999"/>
        <rFont val="Arial"/>
        <family val="2"/>
      </rPr>
      <t xml:space="preserve"> in </t>
    </r>
    <r>
      <rPr>
        <sz val="10.5"/>
        <color rgb="FFFFFF00"/>
        <rFont val="Arial"/>
        <family val="2"/>
      </rPr>
      <t>pain</t>
    </r>
    <r>
      <rPr>
        <sz val="10.5"/>
        <color rgb="FFFF9999"/>
        <rFont val="Arial"/>
        <family val="2"/>
      </rPr>
      <t xml:space="preserve"> from a public facing need, the </t>
    </r>
    <r>
      <rPr>
        <i/>
        <sz val="10.5"/>
        <color rgb="FFFF9999"/>
        <rFont val="Arial"/>
        <family val="2"/>
      </rPr>
      <t>more</t>
    </r>
    <r>
      <rPr>
        <sz val="10.5"/>
        <color rgb="FFFF9999"/>
        <rFont val="Arial"/>
        <family val="2"/>
      </rPr>
      <t xml:space="preserve"> attracted to a political position that best offers generalizing relief for that </t>
    </r>
    <r>
      <rPr>
        <sz val="10.5"/>
        <color rgb="FFFFFF00"/>
        <rFont val="Arial"/>
        <family val="2"/>
      </rPr>
      <t>pain</t>
    </r>
    <r>
      <rPr>
        <sz val="10.5"/>
        <color rgb="FFFF9999"/>
        <rFont val="Arial"/>
        <family val="2"/>
      </rPr>
      <t xml:space="preserve"> point. The </t>
    </r>
    <r>
      <rPr>
        <i/>
        <sz val="10.5"/>
        <color rgb="FFFF9999"/>
        <rFont val="Arial"/>
        <family val="2"/>
      </rPr>
      <t>more</t>
    </r>
    <r>
      <rPr>
        <sz val="10.5"/>
        <color rgb="FFFF9999"/>
        <rFont val="Arial"/>
        <family val="2"/>
      </rPr>
      <t xml:space="preserve"> in </t>
    </r>
    <r>
      <rPr>
        <sz val="10.5"/>
        <color rgb="FFFFFF00"/>
        <rFont val="Arial"/>
        <family val="2"/>
      </rPr>
      <t>pain</t>
    </r>
    <r>
      <rPr>
        <sz val="10.5"/>
        <color rgb="FFFF9999"/>
        <rFont val="Arial"/>
        <family val="2"/>
      </rPr>
      <t xml:space="preserve">, the </t>
    </r>
    <r>
      <rPr>
        <i/>
        <sz val="10.5"/>
        <color rgb="FFFF9999"/>
        <rFont val="Arial"/>
        <family val="2"/>
      </rPr>
      <t>more</t>
    </r>
    <r>
      <rPr>
        <sz val="10.5"/>
        <color rgb="FFFF9999"/>
        <rFont val="Arial"/>
        <family val="2"/>
      </rPr>
      <t xml:space="preserve"> opposed to an alternate position serving the other social situation. The </t>
    </r>
    <r>
      <rPr>
        <i/>
        <sz val="10.5"/>
        <color rgb="FFFF9999"/>
        <rFont val="Arial"/>
        <family val="2"/>
      </rPr>
      <t>less</t>
    </r>
    <r>
      <rPr>
        <sz val="10.5"/>
        <color rgb="FFFF9999"/>
        <rFont val="Arial"/>
        <family val="2"/>
      </rPr>
      <t xml:space="preserve"> specifics get addressed, the </t>
    </r>
    <r>
      <rPr>
        <i/>
        <sz val="10.5"/>
        <color rgb="FFFF9999"/>
        <rFont val="Arial"/>
        <family val="2"/>
      </rPr>
      <t>less</t>
    </r>
    <r>
      <rPr>
        <sz val="10.5"/>
        <color rgb="FFFF9999"/>
        <rFont val="Arial"/>
        <family val="2"/>
      </rPr>
      <t xml:space="preserve"> resolved the needs. The </t>
    </r>
    <r>
      <rPr>
        <i/>
        <sz val="10.5"/>
        <color rgb="FFFF9999"/>
        <rFont val="Arial"/>
        <family val="2"/>
      </rPr>
      <t>more</t>
    </r>
    <r>
      <rPr>
        <sz val="10.5"/>
        <color rgb="FFFF9999"/>
        <rFont val="Arial"/>
        <family val="2"/>
      </rPr>
      <t xml:space="preserve"> the underlying problem persists with mounting </t>
    </r>
    <r>
      <rPr>
        <sz val="10.5"/>
        <color rgb="FFFFFF00"/>
        <rFont val="Arial"/>
        <family val="2"/>
      </rPr>
      <t>pain</t>
    </r>
    <r>
      <rPr>
        <sz val="10.5"/>
        <color rgb="FFFF9999"/>
        <rFont val="Arial"/>
        <family val="2"/>
      </rPr>
      <t xml:space="preserve">, the </t>
    </r>
    <r>
      <rPr>
        <i/>
        <sz val="10.5"/>
        <color rgb="FFFF9999"/>
        <rFont val="Arial"/>
        <family val="2"/>
      </rPr>
      <t>more</t>
    </r>
    <r>
      <rPr>
        <sz val="10.5"/>
        <color rgb="FFFF9999"/>
        <rFont val="Arial"/>
        <family val="2"/>
      </rPr>
      <t xml:space="preserve"> dependence on political generalizing for relief. </t>
    </r>
    <r>
      <rPr>
        <sz val="10.5"/>
        <color rgb="FFFF3C3C"/>
        <rFont val="Arial"/>
        <family val="2"/>
      </rPr>
      <t>Political elites stay in power keeping you painfully needy</t>
    </r>
    <r>
      <rPr>
        <sz val="10.5"/>
        <color rgb="FFFF9999"/>
        <rFont val="Arial"/>
        <family val="2"/>
      </rPr>
      <t xml:space="preserve">. </t>
    </r>
  </si>
  <si>
    <r>
      <t xml:space="preserve">We DEGENERALIZE with a testable hypothesis of </t>
    </r>
    <r>
      <rPr>
        <b/>
        <sz val="10"/>
        <color theme="1"/>
        <rFont val="Arial"/>
        <family val="2"/>
      </rPr>
      <t>relational knowing</t>
    </r>
    <r>
      <rPr>
        <sz val="10"/>
        <color theme="1"/>
        <rFont val="Arial"/>
        <family val="2"/>
      </rPr>
      <t xml:space="preserve">: the more of this or that, the more (or less) of that or this. It draws closer to addressing each other's </t>
    </r>
    <r>
      <rPr>
        <i/>
        <sz val="10"/>
        <color theme="1"/>
        <rFont val="Arial"/>
        <family val="2"/>
      </rPr>
      <t>specific</t>
    </r>
    <r>
      <rPr>
        <sz val="10"/>
        <color theme="1"/>
        <rFont val="Arial"/>
        <family val="2"/>
      </rPr>
      <t xml:space="preserve"> needs.</t>
    </r>
  </si>
  <si>
    <r>
      <t xml:space="preserve">Consider each example a conversation starter. Let </t>
    </r>
    <r>
      <rPr>
        <b/>
        <sz val="10"/>
        <color theme="1"/>
        <rFont val="Arial"/>
        <family val="2"/>
      </rPr>
      <t>relational knowing</t>
    </r>
    <r>
      <rPr>
        <sz val="10"/>
        <color theme="1"/>
        <rFont val="Arial"/>
        <family val="2"/>
      </rPr>
      <t xml:space="preserve"> for this issue show us how easily we impact each other. See our opposite emphasis of psychosocial needs create contrasting priorities. Then below, rate these for how well you can agree if this can help us overcome political polarization.</t>
    </r>
  </si>
  <si>
    <r>
      <t xml:space="preserve">We DEALIENATE with </t>
    </r>
    <r>
      <rPr>
        <b/>
        <sz val="10"/>
        <color theme="1"/>
        <rFont val="Arial"/>
        <family val="2"/>
      </rPr>
      <t>impact engaging</t>
    </r>
    <r>
      <rPr>
        <sz val="10"/>
        <color theme="1"/>
        <rFont val="Arial"/>
        <family val="2"/>
      </rPr>
      <t>: converse with each other how political gains or losses impact each other. If we win, seeing how that impacts you. If we lose, see how that impacts us.</t>
    </r>
  </si>
  <si>
    <r>
      <t xml:space="preserve">Consider each example a conversation starter. Let </t>
    </r>
    <r>
      <rPr>
        <b/>
        <sz val="10"/>
        <color theme="1"/>
        <rFont val="Arial"/>
        <family val="2"/>
      </rPr>
      <t>impact engaging</t>
    </r>
    <r>
      <rPr>
        <sz val="10"/>
        <color theme="1"/>
        <rFont val="Arial"/>
        <family val="2"/>
      </rPr>
      <t xml:space="preserve"> for this issue show us how easily we impact each other. See how impersonal laws can alienate us from each other's specific needs. Then below, rate these for how well you can agree if this can help us bridge the alienation reinforced by political polarization.</t>
    </r>
  </si>
  <si>
    <r>
      <t xml:space="preserve">Consider each example a conversation starter. Let </t>
    </r>
    <r>
      <rPr>
        <b/>
        <sz val="10"/>
        <color theme="1"/>
        <rFont val="Arial"/>
        <family val="2"/>
      </rPr>
      <t>value framing</t>
    </r>
    <r>
      <rPr>
        <sz val="10"/>
        <color theme="1"/>
        <rFont val="Arial"/>
        <family val="2"/>
      </rPr>
      <t xml:space="preserve"> for this issue show us how to mutually value each other, beyond our need-prioritizing political differences. Let's mature beyond exaggerating, stereotyping, and provoking mutual defensiveness. Then below, rate these for how well you can agree if this can help us dissolve the animosity in political polarization.</t>
    </r>
  </si>
  <si>
    <r>
      <t xml:space="preserve">We DEPOLARIZE with </t>
    </r>
    <r>
      <rPr>
        <b/>
        <sz val="10"/>
        <color theme="1"/>
        <rFont val="Arial"/>
        <family val="2"/>
      </rPr>
      <t>value framing</t>
    </r>
    <r>
      <rPr>
        <sz val="10"/>
        <color theme="1"/>
        <rFont val="Arial"/>
        <family val="2"/>
      </rPr>
      <t>: it frames our impacted needs in context of impacting the needs of others. It follows the business communication format of 1) a positive, 2) a negative, and 3) the parity of valuing both sides.</t>
    </r>
  </si>
  <si>
    <t>Politics can either serve as a stumbling block or as a stepping stone to address one another’s politicized needs.</t>
  </si>
  <si>
    <t xml:space="preserve">You naturally need to trust others to help address your many needs. You cannot access or create all necessary resources. </t>
  </si>
  <si>
    <r>
      <rPr>
        <b/>
        <sz val="20"/>
        <color rgb="FFE1FFEB"/>
        <rFont val="Tahoma"/>
        <family val="2"/>
      </rPr>
      <t>Introducing</t>
    </r>
    <r>
      <rPr>
        <b/>
        <sz val="20"/>
        <color rgb="FF008237"/>
        <rFont val="Tahoma"/>
        <family val="2"/>
      </rPr>
      <t xml:space="preserve"> </t>
    </r>
    <r>
      <rPr>
        <b/>
        <sz val="20"/>
        <color rgb="FFCCFFCC"/>
        <rFont val="Tahoma"/>
        <family val="2"/>
      </rPr>
      <t>Value</t>
    </r>
    <r>
      <rPr>
        <b/>
        <sz val="20"/>
        <color rgb="FF371950"/>
        <rFont val="Tahoma"/>
        <family val="2"/>
      </rPr>
      <t xml:space="preserve"> </t>
    </r>
    <r>
      <rPr>
        <b/>
        <sz val="20"/>
        <color rgb="FFEBDCFF"/>
        <rFont val="Tahoma"/>
        <family val="2"/>
      </rPr>
      <t>Relating</t>
    </r>
  </si>
  <si>
    <t>View a 21-minute video to understand political orientation better than anyone.</t>
  </si>
  <si>
    <t>Scroll through a slide presentation empowering politics with love.</t>
  </si>
  <si>
    <t>Listen or read a lengthy exposé of this love-empowering politics.</t>
  </si>
  <si>
    <t>Catch the future of politics right here. Or risk getting left behind.</t>
  </si>
  <si>
    <t>u</t>
  </si>
  <si>
    <t>Learn more</t>
  </si>
  <si>
    <r>
      <rPr>
        <sz val="14"/>
        <color rgb="FF4B2364"/>
        <rFont val="Tahoma"/>
        <family val="2"/>
      </rPr>
      <t xml:space="preserve">Go to </t>
    </r>
    <r>
      <rPr>
        <b/>
        <sz val="12"/>
        <color rgb="FF00823C"/>
        <rFont val="Tahoma"/>
        <family val="2"/>
      </rPr>
      <t>Value</t>
    </r>
    <r>
      <rPr>
        <b/>
        <sz val="12"/>
        <color rgb="FF7030A0"/>
        <rFont val="Tahoma"/>
        <family val="2"/>
      </rPr>
      <t>Relating</t>
    </r>
    <r>
      <rPr>
        <b/>
        <sz val="12"/>
        <color rgb="FF4B2364"/>
        <rFont val="Tahoma"/>
        <family val="2"/>
      </rPr>
      <t>.com</t>
    </r>
    <r>
      <rPr>
        <sz val="14"/>
        <color rgb="FF4B2364"/>
        <rFont val="Tahoma"/>
        <family val="2"/>
      </rPr>
      <t xml:space="preserve"> to delve deeper to understand political orientation.</t>
    </r>
  </si>
  <si>
    <r>
      <t xml:space="preserve">Takeaway - </t>
    </r>
    <r>
      <rPr>
        <b/>
        <i/>
        <sz val="10"/>
        <color rgb="FF00823C"/>
        <rFont val="Arial Narrow"/>
        <family val="2"/>
      </rPr>
      <t>apply to your campaign needs</t>
    </r>
  </si>
  <si>
    <r>
      <t xml:space="preserve">See a 90-second thank-you message to </t>
    </r>
    <r>
      <rPr>
        <sz val="12"/>
        <color rgb="FF0070C0"/>
        <rFont val="Tahoma"/>
        <family val="2"/>
      </rPr>
      <t>all liberals</t>
    </r>
    <r>
      <rPr>
        <sz val="12"/>
        <color theme="1"/>
        <rFont val="Tahoma"/>
        <family val="2"/>
      </rPr>
      <t>.</t>
    </r>
  </si>
  <si>
    <r>
      <t xml:space="preserve">See as 90-second thank-you message to </t>
    </r>
    <r>
      <rPr>
        <sz val="12"/>
        <color rgb="FFC00000"/>
        <rFont val="Tahoma"/>
        <family val="2"/>
      </rPr>
      <t>all conservatives</t>
    </r>
    <r>
      <rPr>
        <sz val="12"/>
        <color theme="1"/>
        <rFont val="Tahoma"/>
        <family val="2"/>
      </rPr>
      <t>.</t>
    </r>
  </si>
  <si>
    <t>Watch my eCourse - Defusing Polarization: Beyond Divisive Politics.</t>
  </si>
  <si>
    <t>Slipping into political tension</t>
  </si>
  <si>
    <t>Your client's political views</t>
  </si>
  <si>
    <r>
      <rPr>
        <b/>
        <sz val="12"/>
        <color theme="1"/>
        <rFont val="Cambria"/>
        <family val="1"/>
      </rPr>
      <t>Your client's political outlook</t>
    </r>
    <r>
      <rPr>
        <sz val="12"/>
        <color theme="1"/>
        <rFont val="Cambria"/>
        <family val="1"/>
      </rPr>
      <t xml:space="preserve"> inevitably slips into the therapeutic process. Perhaps you prefer to avoid political differences. But your client relies on politics to convey their publicly affected needs. Those needs are not being met, so they now come to you. How you handle this opportunity correlates with how well you can help your client. And if you can retain your client. 
</t>
    </r>
  </si>
  <si>
    <t>Your client's presenting political outlook:</t>
  </si>
  <si>
    <t>Your own political outlook:</t>
  </si>
  <si>
    <t>Moving therapy beyond popular politics</t>
  </si>
  <si>
    <r>
      <rPr>
        <b/>
        <sz val="12"/>
        <color theme="1"/>
        <rFont val="Cambria"/>
        <family val="1"/>
      </rPr>
      <t>Your client can have political views</t>
    </r>
    <r>
      <rPr>
        <sz val="12"/>
        <color theme="1"/>
        <rFont val="Cambria"/>
        <family val="1"/>
      </rPr>
      <t xml:space="preserve"> sharply divergent from yours without undermining the therapeutic process. Ideally. As long as you recognized the many limits in popular politics. Your client's political views can serve as stepping stones for deeper understanding, or stumbling blocks to any meaningful therapy. This tool breaks down the difference.</t>
    </r>
  </si>
  <si>
    <t>Your client risks your rejection.</t>
  </si>
  <si>
    <t>You risk losing the client, and more.</t>
  </si>
  <si>
    <t>After building up rapport with your client, your client may drop their guard to express their political views on some issue. Perhaps transference emerges, as they project their political angst onto you. If reacting with countertransference by instantly disagreeing (or agreeing) with your client's political views, because it emotionally elicits your vulnerable needs, you risk undermining the therapeutic alliance. Your elicited needs easily distracts full attention to their needs.</t>
  </si>
  <si>
    <r>
      <rPr>
        <b/>
        <sz val="12"/>
        <color theme="1"/>
        <rFont val="Cambria"/>
        <family val="1"/>
      </rPr>
      <t>Harmony Politics</t>
    </r>
    <r>
      <rPr>
        <sz val="12"/>
        <color theme="1"/>
        <rFont val="Cambria"/>
        <family val="1"/>
      </rPr>
      <t xml:space="preserve"> turns popular politics on its head. It rethinks politics as a way for you to relate to your clients' needs, in at least three ways.
</t>
    </r>
  </si>
  <si>
    <t>1. Politics reveals your client's unresolved needs.</t>
  </si>
  <si>
    <t>2. Politics unmasks your client's vulnerable needs.</t>
  </si>
  <si>
    <t>3. Politics exposes structural barriers to needs.</t>
  </si>
  <si>
    <t xml:space="preserve">Our true foes are structurally unresolved needs from too much generalizing. Not each other.
</t>
  </si>
  <si>
    <r>
      <t xml:space="preserve">Therapeutic </t>
    </r>
    <r>
      <rPr>
        <b/>
        <sz val="24"/>
        <color rgb="FF00823C"/>
        <rFont val="Tahoma"/>
        <family val="2"/>
      </rPr>
      <t>Harmony</t>
    </r>
    <r>
      <rPr>
        <b/>
        <sz val="22"/>
        <color rgb="FF00501E"/>
        <rFont val="Tahoma"/>
        <family val="2"/>
      </rPr>
      <t xml:space="preserve"> </t>
    </r>
    <r>
      <rPr>
        <b/>
        <sz val="24"/>
        <color rgb="FF7030A0"/>
        <rFont val="Tahoma"/>
        <family val="2"/>
      </rPr>
      <t>Politics</t>
    </r>
  </si>
  <si>
    <t>Client present populist sentiment?</t>
  </si>
  <si>
    <t>Client's relational orientation (RO):</t>
  </si>
  <si>
    <t>Client's easement orientation (EO):</t>
  </si>
  <si>
    <t>Your client's trust in your expertise</t>
  </si>
  <si>
    <t>Your client's "relational orientation" (RO)</t>
  </si>
  <si>
    <t>Your client's "easement orientation" (EO)</t>
  </si>
  <si>
    <t>1. Identifying affected needs - "degeneralize"</t>
  </si>
  <si>
    <t>2. Expressing affected needs - "dealienate"</t>
  </si>
  <si>
    <t>3. Addressing affected needs - "depolarize"</t>
  </si>
  <si>
    <t>ISSUES</t>
  </si>
  <si>
    <t>POLICE BRUTALITY</t>
  </si>
  <si>
    <t>VOTING FAIRNESS</t>
  </si>
  <si>
    <t>COVID SAFETY</t>
  </si>
  <si>
    <t>Police brutality</t>
  </si>
  <si>
    <t>Voting fairness</t>
  </si>
  <si>
    <t>Covid safety</t>
  </si>
  <si>
    <t>police brutality</t>
  </si>
  <si>
    <t>voting fairness</t>
  </si>
  <si>
    <t>covid safety</t>
  </si>
  <si>
    <t>Voter suppression</t>
  </si>
  <si>
    <t>Voter fraud</t>
  </si>
  <si>
    <t>voter suppression</t>
  </si>
  <si>
    <t>voter fraud</t>
  </si>
  <si>
    <t>Systemic</t>
  </si>
  <si>
    <t>Overreported</t>
  </si>
  <si>
    <t>Left stance</t>
  </si>
  <si>
    <t>Right stance</t>
  </si>
  <si>
    <t>Pro-choice</t>
  </si>
  <si>
    <t>Reproductive rights</t>
  </si>
  <si>
    <t>Unborn rights</t>
  </si>
  <si>
    <t>reproductive rights</t>
  </si>
  <si>
    <t>unborn rights</t>
  </si>
  <si>
    <t>pro-choice</t>
  </si>
  <si>
    <t>pro-life</t>
  </si>
  <si>
    <t>Pro-life</t>
  </si>
  <si>
    <t>W need</t>
  </si>
  <si>
    <t>D need</t>
  </si>
  <si>
    <t>W focus</t>
  </si>
  <si>
    <t>D focus</t>
  </si>
  <si>
    <t>Stance action</t>
  </si>
  <si>
    <t>W ease</t>
  </si>
  <si>
    <t>protect the mother's choice</t>
  </si>
  <si>
    <t>protect the unborn's life</t>
  </si>
  <si>
    <t>trust citizens to choose</t>
  </si>
  <si>
    <t>Racialized policing</t>
  </si>
  <si>
    <t>Few racist cops</t>
  </si>
  <si>
    <t>communities of color</t>
  </si>
  <si>
    <t>Distrust big business elites</t>
  </si>
  <si>
    <t>Distrust big government elites</t>
  </si>
  <si>
    <t>Left populism</t>
  </si>
  <si>
    <t>Right populism</t>
  </si>
  <si>
    <t>Easy entry</t>
  </si>
  <si>
    <t>Vetted entry</t>
  </si>
  <si>
    <t>Soft borders</t>
  </si>
  <si>
    <t>poor immigrants</t>
  </si>
  <si>
    <t>separate families</t>
  </si>
  <si>
    <t>cage children</t>
  </si>
  <si>
    <t>W worse1</t>
  </si>
  <si>
    <t>D worse1</t>
  </si>
  <si>
    <t>W worse2</t>
  </si>
  <si>
    <t>D worse2</t>
  </si>
  <si>
    <t>lose jobs to migrants</t>
  </si>
  <si>
    <t>lose workforce</t>
  </si>
  <si>
    <t>build a wall</t>
  </si>
  <si>
    <t>PROGRESSIVE</t>
  </si>
  <si>
    <t>Progressive</t>
  </si>
  <si>
    <t>progressive</t>
  </si>
  <si>
    <t>Trumpism</t>
  </si>
  <si>
    <t>LIBERAL</t>
  </si>
  <si>
    <t>LIBERTARIAN</t>
  </si>
  <si>
    <t>COMMUNIST</t>
  </si>
  <si>
    <t>TEA PARTY</t>
  </si>
  <si>
    <t>ALT-RIGHT</t>
  </si>
  <si>
    <t>FAR-FIGHT</t>
  </si>
  <si>
    <t>SOCIAL DEMOCRAT</t>
  </si>
  <si>
    <t>CENTRIST</t>
  </si>
  <si>
    <t>INDEPENDENT</t>
  </si>
  <si>
    <t>UNDECIDED</t>
  </si>
  <si>
    <t>OTHER</t>
  </si>
  <si>
    <t>TRUMPIST</t>
  </si>
  <si>
    <t>LEFT ANARCHIST</t>
  </si>
  <si>
    <t>Populism</t>
  </si>
  <si>
    <t>populism</t>
  </si>
  <si>
    <t>CONSERVATIVE</t>
  </si>
  <si>
    <t>risk their life to save another</t>
  </si>
  <si>
    <t>more general than specific</t>
  </si>
  <si>
    <t>more relief than resolve</t>
  </si>
  <si>
    <t>more specific than general</t>
  </si>
  <si>
    <t>more resolve than relief</t>
  </si>
  <si>
    <t>uncertain</t>
  </si>
  <si>
    <t>W worse3</t>
  </si>
  <si>
    <t>D worse3</t>
  </si>
  <si>
    <t>W challenge2</t>
  </si>
  <si>
    <t>W challenge1</t>
  </si>
  <si>
    <t>isolation</t>
  </si>
  <si>
    <t>stress</t>
  </si>
  <si>
    <t>opposing/similar</t>
  </si>
  <si>
    <t xml:space="preserve">For starters, politics provides you and your clients a popular way to convey your affected priority of needs. If you expect your client to experience the same priority of needs as you, and your client expresses </t>
  </si>
  <si>
    <t xml:space="preserve"> political views, you risk countertransference. You risk rejecting your client, who may then reject you.
</t>
  </si>
  <si>
    <t>-related needs, your client may suddenly cancel any further sessions.</t>
  </si>
  <si>
    <t xml:space="preserve">. If you seem to threaten their trusted political way to cope with their </t>
  </si>
  <si>
    <t xml:space="preserve">If clinging to the notion that politics is based on rational agreements, you may unconsciously expect your client to link their thinking with yours on </t>
  </si>
  <si>
    <t xml:space="preserve">As a counselor, you can now understand how your client experiences </t>
  </si>
  <si>
    <t xml:space="preserve">-related challenges like </t>
  </si>
  <si>
    <t xml:space="preserve"> and </t>
  </si>
  <si>
    <t xml:space="preserve"> through the lens of their prioritized needs. Think of their political views as a helpful window into their priority of needs.</t>
  </si>
  <si>
    <t xml:space="preserve">You gravitate to certain political beliefs because they serve your particular set of needs. Now you can relate to the particular set of needs of others expressed by beliefs different from your own, including your clients. Your political beliefs about </t>
  </si>
  <si>
    <t xml:space="preserve"> serve your specific needs. Your client likey has a different experience of needs around </t>
  </si>
  <si>
    <t xml:space="preserve">. You understand their experience of </t>
  </si>
  <si>
    <t xml:space="preserve"> through their political views. You leave notions of rational choice at the door. </t>
  </si>
  <si>
    <t xml:space="preserve">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t>
  </si>
  <si>
    <t xml:space="preserve">You probably do not think of political disagreement as rejection. But the more their needs tie into their </t>
  </si>
  <si>
    <t>Personal</t>
  </si>
  <si>
    <t>Gun control</t>
  </si>
  <si>
    <t>Gun rights</t>
  </si>
  <si>
    <t>Market solutions</t>
  </si>
  <si>
    <t>L epith</t>
  </si>
  <si>
    <t>R epith</t>
  </si>
  <si>
    <t>Free speech</t>
  </si>
  <si>
    <t>free speech</t>
  </si>
  <si>
    <t>Equal access</t>
  </si>
  <si>
    <t>Responsible health</t>
  </si>
  <si>
    <t>Nature corrects</t>
  </si>
  <si>
    <t>Priv insurance</t>
  </si>
  <si>
    <t>Gov't administered</t>
  </si>
  <si>
    <t>Self-protection</t>
  </si>
  <si>
    <t>Gov't protection</t>
  </si>
  <si>
    <t>Reform</t>
  </si>
  <si>
    <t>Improve</t>
  </si>
  <si>
    <t>Gov't led</t>
  </si>
  <si>
    <t>Market led</t>
  </si>
  <si>
    <t>easy entry</t>
  </si>
  <si>
    <t>Gov't regulations</t>
  </si>
  <si>
    <t>market solutions</t>
  </si>
  <si>
    <t>vetted entry</t>
  </si>
  <si>
    <t>self-protection</t>
  </si>
  <si>
    <t>soft borders</t>
  </si>
  <si>
    <t>reform</t>
  </si>
  <si>
    <t>systemic</t>
  </si>
  <si>
    <t>racialized policing</t>
  </si>
  <si>
    <t>firm borders</t>
  </si>
  <si>
    <t>Firm borders</t>
  </si>
  <si>
    <t>personal</t>
  </si>
  <si>
    <t>few racist cops</t>
  </si>
  <si>
    <t>gun control</t>
  </si>
  <si>
    <t>gun rights</t>
  </si>
  <si>
    <t>microaggressions</t>
  </si>
  <si>
    <t>Every voice heard</t>
  </si>
  <si>
    <t>Meritorious speech</t>
  </si>
  <si>
    <t xml:space="preserve">The more your client's needs remain unresolved, the more apt to generalize for relief. The more they cling to political generalizations. </t>
  </si>
  <si>
    <t>The more your client's needs can resolve, the less prone to generalize for relief. The less attached they are to political generalizations.</t>
  </si>
  <si>
    <t>equal access</t>
  </si>
  <si>
    <t>responsible health</t>
  </si>
  <si>
    <t>fear</t>
  </si>
  <si>
    <t>insecurity</t>
  </si>
  <si>
    <t>anxiety</t>
  </si>
  <si>
    <t>noncitizen voting</t>
  </si>
  <si>
    <t>Risk death</t>
  </si>
  <si>
    <t>Risk economy</t>
  </si>
  <si>
    <t>end all forms of racism</t>
  </si>
  <si>
    <t>Individual racists</t>
  </si>
  <si>
    <t>Structural racism</t>
  </si>
  <si>
    <t>Support police</t>
  </si>
  <si>
    <t>Support POC</t>
  </si>
  <si>
    <t>Minority voters</t>
  </si>
  <si>
    <t>Patriot voters</t>
  </si>
  <si>
    <t>market led</t>
  </si>
  <si>
    <t>structural racism</t>
  </si>
  <si>
    <t>patriot voters</t>
  </si>
  <si>
    <t>every voice heard</t>
  </si>
  <si>
    <t>meritorious speech</t>
  </si>
  <si>
    <t>gun owners</t>
  </si>
  <si>
    <t>tighten gun laws</t>
  </si>
  <si>
    <t>uninsured</t>
  </si>
  <si>
    <t>victims</t>
  </si>
  <si>
    <t>consumers</t>
  </si>
  <si>
    <t>producers</t>
  </si>
  <si>
    <t>high risk individuals</t>
  </si>
  <si>
    <t>reduce carbon emissions</t>
  </si>
  <si>
    <t>overhaul policing</t>
  </si>
  <si>
    <t>tax the 1%</t>
  </si>
  <si>
    <t>reduce taxes</t>
  </si>
  <si>
    <t>call them _____"</t>
  </si>
  <si>
    <t>alienation</t>
  </si>
  <si>
    <t>loneliness</t>
  </si>
  <si>
    <t>anguish</t>
  </si>
  <si>
    <t>powerlessness</t>
  </si>
  <si>
    <t>EMOTIONS</t>
  </si>
  <si>
    <t>POPGEN: suppress emotions with rational supremacy</t>
  </si>
  <si>
    <t>anger</t>
  </si>
  <si>
    <t>W felt need</t>
  </si>
  <si>
    <t>D challenge1</t>
  </si>
  <si>
    <t>D challenge2</t>
  </si>
  <si>
    <t>D felt need</t>
  </si>
  <si>
    <t>D ease</t>
  </si>
  <si>
    <t>W gen soc</t>
  </si>
  <si>
    <t>D gen self</t>
  </si>
  <si>
    <t>W guard self</t>
  </si>
  <si>
    <t>D guard soc</t>
  </si>
  <si>
    <t>local cohesion</t>
  </si>
  <si>
    <t>psychosocial priority needs</t>
  </si>
  <si>
    <t>equal support</t>
  </si>
  <si>
    <t>full inclusion</t>
  </si>
  <si>
    <t>"…as other side gen ____ while guarding their ____"</t>
  </si>
  <si>
    <t>"Your side generalizes for ____ while guarding ____"</t>
  </si>
  <si>
    <t>disillusion</t>
  </si>
  <si>
    <t>disgust</t>
  </si>
  <si>
    <t>irritation</t>
  </si>
  <si>
    <t>pessimism</t>
  </si>
  <si>
    <t>rejection</t>
  </si>
  <si>
    <t>discrimination</t>
  </si>
  <si>
    <t>disincentivization</t>
  </si>
  <si>
    <t>vigilance</t>
  </si>
  <si>
    <t>vulnerability</t>
  </si>
  <si>
    <t>suspicion</t>
  </si>
  <si>
    <t>terror</t>
  </si>
  <si>
    <t>helplessness</t>
  </si>
  <si>
    <t>hostility</t>
  </si>
  <si>
    <t>outrage</t>
  </si>
  <si>
    <t>humiliation</t>
  </si>
  <si>
    <t>exasperation</t>
  </si>
  <si>
    <t>frustration</t>
  </si>
  <si>
    <t>seclusion</t>
  </si>
  <si>
    <t>uncertainty</t>
  </si>
  <si>
    <t>distress</t>
  </si>
  <si>
    <t>W overgen</t>
  </si>
  <si>
    <t>D overgen</t>
  </si>
  <si>
    <t>W degen</t>
  </si>
  <si>
    <t>D degen</t>
  </si>
  <si>
    <t>let anyone enter</t>
  </si>
  <si>
    <t>keep all out</t>
  </si>
  <si>
    <t>those risking income loss</t>
  </si>
  <si>
    <t>affected nativists</t>
  </si>
  <si>
    <t>desperate immigrants</t>
  </si>
  <si>
    <t>environmental activists</t>
  </si>
  <si>
    <t>repeal all regulations</t>
  </si>
  <si>
    <t>degen: "empathize with ___"</t>
  </si>
  <si>
    <t>CATASTROPHIZE</t>
  </si>
  <si>
    <t>equal protection</t>
  </si>
  <si>
    <t>life sanctity</t>
  </si>
  <si>
    <t>group dependability</t>
  </si>
  <si>
    <t>[A]</t>
  </si>
  <si>
    <t>[B]</t>
  </si>
  <si>
    <t>[C]</t>
  </si>
  <si>
    <t>[D]</t>
  </si>
  <si>
    <t>self-initiative</t>
  </si>
  <si>
    <t>equal inclusion</t>
  </si>
  <si>
    <t>full equality</t>
  </si>
  <si>
    <t>equal opportunity</t>
  </si>
  <si>
    <t>equal safety</t>
  </si>
  <si>
    <t>merited belonging</t>
  </si>
  <si>
    <t>1st responders support</t>
  </si>
  <si>
    <t>ballot access</t>
  </si>
  <si>
    <t>internal incentives</t>
  </si>
  <si>
    <t>health traditions</t>
  </si>
  <si>
    <t>public spaces</t>
  </si>
  <si>
    <t>unique health needs</t>
  </si>
  <si>
    <t>traditional health results</t>
  </si>
  <si>
    <t>democratic autonomy</t>
  </si>
  <si>
    <t>medical privacy</t>
  </si>
  <si>
    <t>for freedom of movement</t>
  </si>
  <si>
    <t>for secure borders</t>
  </si>
  <si>
    <t>for a livable habitat</t>
  </si>
  <si>
    <t>for economic resources</t>
  </si>
  <si>
    <t>for freedom from fear</t>
  </si>
  <si>
    <t>for self-protection</t>
  </si>
  <si>
    <t>for bodily autonomy</t>
  </si>
  <si>
    <t>to give voice for the voiceless unborn</t>
  </si>
  <si>
    <t>to freely access healthcare</t>
  </si>
  <si>
    <t>for stable healthcare</t>
  </si>
  <si>
    <t>to address causes of crime</t>
  </si>
  <si>
    <t>to safeguard consumers</t>
  </si>
  <si>
    <t>to incentivize producers</t>
  </si>
  <si>
    <t>to recognize structural discrimination</t>
  </si>
  <si>
    <t>to affirm removal of covert racism</t>
  </si>
  <si>
    <t>for unbiased first responders</t>
  </si>
  <si>
    <t>to support first responders</t>
  </si>
  <si>
    <t>for unhindered voting</t>
  </si>
  <si>
    <t>to sustain relevancy</t>
  </si>
  <si>
    <t>to avoid the pandemic's spread</t>
  </si>
  <si>
    <t>to avoid further economic damage</t>
  </si>
  <si>
    <t>to hear the least heard</t>
  </si>
  <si>
    <t>to insure a free flow of ideas</t>
  </si>
  <si>
    <t>stop using all fossil fuels</t>
  </si>
  <si>
    <t>outlaw all guns</t>
  </si>
  <si>
    <t>repeal all gun control laws</t>
  </si>
  <si>
    <t>allow abortion on demand for all new moms</t>
  </si>
  <si>
    <t>prohibit abortion under any circumstance</t>
  </si>
  <si>
    <t>provide healthcare only to those living responsibly</t>
  </si>
  <si>
    <t>abolish the police</t>
  </si>
  <si>
    <t>let the economy run without any government input</t>
  </si>
  <si>
    <t>abolish all forms of detention</t>
  </si>
  <si>
    <t>let government manage the economy</t>
  </si>
  <si>
    <t>shame all racial faux pas</t>
  </si>
  <si>
    <t>delare racism as all in the past</t>
  </si>
  <si>
    <t>let police be harsh as necessary</t>
  </si>
  <si>
    <t>see voter fraud keeping Democrats in power</t>
  </si>
  <si>
    <t>see voter suppression keeping Republicans in power</t>
  </si>
  <si>
    <t>follow China's lockdown model</t>
  </si>
  <si>
    <t>let herd immunity run its course</t>
  </si>
  <si>
    <t>deplatform any speaker for a microaggression</t>
  </si>
  <si>
    <t>overgen: "overgeneralize by saying "</t>
  </si>
  <si>
    <t>shooting victims</t>
  </si>
  <si>
    <t>distressed new mothers</t>
  </si>
  <si>
    <t>voiceless unborn</t>
  </si>
  <si>
    <t>traditionally insured</t>
  </si>
  <si>
    <t>killed officer's family</t>
  </si>
  <si>
    <t>distressed conservatives</t>
  </si>
  <si>
    <t>wrongly convicted</t>
  </si>
  <si>
    <t>chronically unemployed</t>
  </si>
  <si>
    <t>discrimination victims</t>
  </si>
  <si>
    <t>police lethal-force victims</t>
  </si>
  <si>
    <t>distressed liberals</t>
  </si>
  <si>
    <t>healthcare worker victims</t>
  </si>
  <si>
    <t>Needs come first. Political and other beliefs serving those beliefs arrive after.</t>
  </si>
  <si>
    <t>the new mother</t>
  </si>
  <si>
    <t>the unborn</t>
  </si>
  <si>
    <r>
      <t xml:space="preserve">Anankelogy appreciates politics as the outward expression of an inward psychosocial orientation. Needs come first, their expression in politics arrives later. If more of your </t>
    </r>
    <r>
      <rPr>
        <i/>
        <sz val="12"/>
        <color theme="1"/>
        <rFont val="Cambria"/>
        <family val="1"/>
      </rPr>
      <t>self-needs</t>
    </r>
    <r>
      <rPr>
        <sz val="12"/>
        <color theme="1"/>
        <rFont val="Cambria"/>
        <family val="1"/>
      </rPr>
      <t xml:space="preserve"> resolve than your </t>
    </r>
    <r>
      <rPr>
        <i/>
        <sz val="12"/>
        <color theme="1"/>
        <rFont val="Cambria"/>
        <family val="1"/>
      </rPr>
      <t>social-needs</t>
    </r>
    <r>
      <rPr>
        <sz val="12"/>
        <color theme="1"/>
        <rFont val="Cambria"/>
        <family val="1"/>
      </rPr>
      <t xml:space="preserve">, because of your life situation, you tend to have a </t>
    </r>
    <r>
      <rPr>
        <b/>
        <sz val="12"/>
        <color theme="1"/>
        <rFont val="Cambria"/>
        <family val="1"/>
      </rPr>
      <t>wide-orientation</t>
    </r>
    <r>
      <rPr>
        <sz val="12"/>
        <color theme="1"/>
        <rFont val="Cambria"/>
        <family val="1"/>
      </rPr>
      <t xml:space="preserve">. You express your prioritized needs with </t>
    </r>
    <r>
      <rPr>
        <b/>
        <i/>
        <sz val="12"/>
        <color theme="1"/>
        <rFont val="Cambria"/>
        <family val="1"/>
      </rPr>
      <t>liberalism</t>
    </r>
    <r>
      <rPr>
        <sz val="12"/>
        <color theme="1"/>
        <rFont val="Cambria"/>
        <family val="1"/>
      </rPr>
      <t xml:space="preserve">. If more of your </t>
    </r>
    <r>
      <rPr>
        <i/>
        <sz val="12"/>
        <color theme="1"/>
        <rFont val="Cambria"/>
        <family val="1"/>
      </rPr>
      <t>social-needs</t>
    </r>
    <r>
      <rPr>
        <sz val="12"/>
        <color theme="1"/>
        <rFont val="Cambria"/>
        <family val="1"/>
      </rPr>
      <t xml:space="preserve"> resolve than your </t>
    </r>
    <r>
      <rPr>
        <i/>
        <sz val="12"/>
        <color theme="1"/>
        <rFont val="Cambria"/>
        <family val="1"/>
      </rPr>
      <t>self-needs</t>
    </r>
    <r>
      <rPr>
        <sz val="12"/>
        <color theme="1"/>
        <rFont val="Cambria"/>
        <family val="1"/>
      </rPr>
      <t xml:space="preserve">, because of your situation, you tend to have a </t>
    </r>
    <r>
      <rPr>
        <b/>
        <sz val="12"/>
        <color theme="1"/>
        <rFont val="Cambria"/>
        <family val="1"/>
      </rPr>
      <t>deep-orientation</t>
    </r>
    <r>
      <rPr>
        <sz val="12"/>
        <color theme="1"/>
        <rFont val="Cambria"/>
        <family val="1"/>
      </rPr>
      <t xml:space="preserve">. You express your prioritized needs with </t>
    </r>
    <r>
      <rPr>
        <b/>
        <i/>
        <sz val="12"/>
        <color theme="1"/>
        <rFont val="Cambria"/>
        <family val="1"/>
      </rPr>
      <t>conservatism</t>
    </r>
    <r>
      <rPr>
        <sz val="12"/>
        <color theme="1"/>
        <rFont val="Cambria"/>
        <family val="1"/>
      </rPr>
      <t xml:space="preserve">.
</t>
    </r>
  </si>
  <si>
    <r>
      <t xml:space="preserve">Politics typically divides between a side accommodating </t>
    </r>
    <r>
      <rPr>
        <i/>
        <sz val="12"/>
        <color theme="1"/>
        <rFont val="Cambria"/>
        <family val="1"/>
      </rPr>
      <t>self-needs</t>
    </r>
    <r>
      <rPr>
        <sz val="12"/>
        <color theme="1"/>
        <rFont val="Cambria"/>
        <family val="1"/>
      </rPr>
      <t xml:space="preserve"> prioritizing over </t>
    </r>
    <r>
      <rPr>
        <i/>
        <sz val="12"/>
        <color theme="1"/>
        <rFont val="Cambria"/>
        <family val="1"/>
      </rPr>
      <t>social-needs</t>
    </r>
    <r>
      <rPr>
        <sz val="12"/>
        <color theme="1"/>
        <rFont val="Cambria"/>
        <family val="1"/>
      </rPr>
      <t xml:space="preserve"> and a side accommodating </t>
    </r>
    <r>
      <rPr>
        <i/>
        <sz val="12"/>
        <color theme="1"/>
        <rFont val="Cambria"/>
        <family val="1"/>
      </rPr>
      <t>social-needs</t>
    </r>
    <r>
      <rPr>
        <sz val="12"/>
        <color theme="1"/>
        <rFont val="Cambria"/>
        <family val="1"/>
      </rPr>
      <t xml:space="preserve"> prioritizing over </t>
    </r>
    <r>
      <rPr>
        <i/>
        <sz val="12"/>
        <color theme="1"/>
        <rFont val="Cambria"/>
        <family val="1"/>
      </rPr>
      <t>self-needs</t>
    </r>
    <r>
      <rPr>
        <sz val="12"/>
        <color theme="1"/>
        <rFont val="Cambria"/>
        <family val="1"/>
      </rPr>
      <t xml:space="preserve">. Learn more about this psychosocial orientation in the </t>
    </r>
    <r>
      <rPr>
        <b/>
        <sz val="12"/>
        <color theme="1"/>
        <rFont val="Cambria"/>
        <family val="1"/>
      </rPr>
      <t>HP</t>
    </r>
    <r>
      <rPr>
        <sz val="12"/>
        <color theme="1"/>
        <rFont val="Cambria"/>
        <family val="1"/>
      </rPr>
      <t xml:space="preserve"> tab.
</t>
    </r>
  </si>
  <si>
    <r>
      <t xml:space="preserve">The new social science of </t>
    </r>
    <r>
      <rPr>
        <b/>
        <i/>
        <sz val="12"/>
        <color theme="1"/>
        <rFont val="Cambria"/>
        <family val="1"/>
      </rPr>
      <t>anankelogy</t>
    </r>
    <r>
      <rPr>
        <sz val="12"/>
        <color theme="1"/>
        <rFont val="Cambria"/>
        <family val="1"/>
      </rPr>
      <t xml:space="preserve">, the study of need, provides a robust understanding of politics as a way to agree on support to ease shared needs. According to anankelogy, politics is </t>
    </r>
    <r>
      <rPr>
        <i/>
        <sz val="12"/>
        <color theme="1"/>
        <rFont val="Cambria"/>
        <family val="1"/>
      </rPr>
      <t>the art of generalizing how to agreeably address needs in different situations</t>
    </r>
    <r>
      <rPr>
        <sz val="12"/>
        <color theme="1"/>
        <rFont val="Cambria"/>
        <family val="1"/>
      </rPr>
      <t xml:space="preserve">. Urban situations tend to create a different priority of needs than rural situations. Contrary to popular belief, politics is less about reasoned arguing and more about irrational needs.
</t>
    </r>
  </si>
  <si>
    <t>You cannot know everyone's needs. Nor can others know all of your needs.</t>
  </si>
  <si>
    <t>Anankelogy also finds we have a set way for easing our painful needs. Simplified here, you either prioritize relief or resolve. You either go first to what eases the mounting pain from your unresolved public facing needs, or you endure the grinding discomfort to prioritize resolving the need. Only by resolving the needs will its pain finally dissapate. Politics temps you to first go for the easy road of pain relief. Once attached to relieving your pain, your needs are less likely to resolve. You then rely on the pain relief of politics to get by.</t>
  </si>
  <si>
    <t>CLIENT:</t>
  </si>
  <si>
    <t>COUNSELOR:</t>
  </si>
  <si>
    <r>
      <rPr>
        <b/>
        <sz val="10"/>
        <color rgb="FF00B050"/>
        <rFont val="Arial Narrow"/>
        <family val="2"/>
      </rPr>
      <t>CLIENT POSITION</t>
    </r>
    <r>
      <rPr>
        <sz val="10"/>
        <color rgb="FF00B050"/>
        <rFont val="Arial Narrow"/>
        <family val="2"/>
      </rPr>
      <t>:</t>
    </r>
  </si>
  <si>
    <r>
      <rPr>
        <b/>
        <sz val="10"/>
        <color rgb="FF00B050"/>
        <rFont val="Arial Narrow"/>
        <family val="2"/>
      </rPr>
      <t>CLIENT FOCUS</t>
    </r>
    <r>
      <rPr>
        <sz val="10"/>
        <color rgb="FF00B050"/>
        <rFont val="Arial Narrow"/>
        <family val="2"/>
      </rPr>
      <t>:</t>
    </r>
  </si>
  <si>
    <r>
      <rPr>
        <b/>
        <sz val="10"/>
        <color rgb="FF7030A0"/>
        <rFont val="Arial Narrow"/>
        <family val="2"/>
      </rPr>
      <t>COUNSELOR POSITION</t>
    </r>
    <r>
      <rPr>
        <sz val="10"/>
        <color rgb="FF7030A0"/>
        <rFont val="Arial Narrow"/>
        <family val="2"/>
      </rPr>
      <t>:</t>
    </r>
  </si>
  <si>
    <r>
      <rPr>
        <b/>
        <sz val="10"/>
        <color rgb="FF7030A0"/>
        <rFont val="Arial Narrow"/>
        <family val="2"/>
      </rPr>
      <t>COUNSELOR FOCUS</t>
    </r>
    <r>
      <rPr>
        <sz val="10"/>
        <color rgb="FF7030A0"/>
        <rFont val="Arial Narrow"/>
        <family val="2"/>
      </rPr>
      <t>:</t>
    </r>
  </si>
  <si>
    <t>self-needs, like authenticity and privacy</t>
  </si>
  <si>
    <t>social-needs, like cohesion and support</t>
  </si>
  <si>
    <t>social-needs, like inclusion and fairness</t>
  </si>
  <si>
    <t>self-needs, like self-initiative and independence</t>
  </si>
  <si>
    <t xml:space="preserve">This HP tool helps you translate your client's political rhetoric into their current priority of needs. First, at the level of access to public resources to address their </t>
  </si>
  <si>
    <t xml:space="preserve">Politics lets your client guard their vulnerable needs beneath a cloak of publically supported beliefs. They count on that support to insist what others must do, to respect their </t>
  </si>
  <si>
    <t xml:space="preserve">-affected needs. They get to check how much you respect their </t>
  </si>
  <si>
    <t xml:space="preserve">-affected needs. You can show the deepest respect by affirming their underlying needs, without premature agreement or disagreement for what to do about such needs. You acknowledge how important it must be for them to </t>
  </si>
  <si>
    <t xml:space="preserve">HP helps you distinguish between the inflexible prioritized needs around </t>
  </si>
  <si>
    <t xml:space="preserve">Politics expresses agreement about ideas, about </t>
  </si>
  <si>
    <t xml:space="preserve">. You resist that pull, to go straight to the needs affected by </t>
  </si>
  <si>
    <t xml:space="preserve">. You affirm those needs without jumping ahead to what is to be done about those vulnerable needs affected by </t>
  </si>
  <si>
    <t xml:space="preserve"> against </t>
  </si>
  <si>
    <t xml:space="preserve">Politics is largely a contest around generalizations. </t>
  </si>
  <si>
    <t xml:space="preserve"> issue starts with the generalization of pitting </t>
  </si>
  <si>
    <t xml:space="preserve">. Helping your client see beyond this overgeneralizing binary can free them from viewing the other political side as some mortal enemy. </t>
  </si>
  <si>
    <t xml:space="preserve"> You can help them see unresolved needs on all sides as the true foe.</t>
  </si>
  <si>
    <t xml:space="preserve">-affected needs of </t>
  </si>
  <si>
    <t xml:space="preserve"> over the </t>
  </si>
  <si>
    <t xml:space="preserve">. This positions each other's priority of publicly affected needs against each other. It is about one group generalizing their </t>
  </si>
  <si>
    <t xml:space="preserve">-related needs as the only standard for society, which disrespects the different </t>
  </si>
  <si>
    <t xml:space="preserve">-related needs of others. This always exposes a structural error beyond personal control.
</t>
  </si>
  <si>
    <t xml:space="preserve"> against the needs of </t>
  </si>
  <si>
    <t xml:space="preserve">, or with the needs of </t>
  </si>
  <si>
    <t xml:space="preserve">Our challenge, as helping professionals, is to help each individual resolve their needs in sync with others resolving theirs. That requires letting go of each other's pain-relieving generalizations. To turn opposing political views on </t>
  </si>
  <si>
    <t xml:space="preserve"> into specific steps for resolving </t>
  </si>
  <si>
    <t xml:space="preserve">-related needs, starting with your client's </t>
  </si>
  <si>
    <t xml:space="preserve">-related needs. Welcome to Harmony Politics, the antidote to the divisiveness of popular politics. And a free tool for you to retain your ideologically diverse clients.
</t>
  </si>
  <si>
    <t xml:space="preserve">You first experience a need </t>
  </si>
  <si>
    <t xml:space="preserve">, or vicariously experience others' need </t>
  </si>
  <si>
    <t xml:space="preserve">. Your client first experiences a need </t>
  </si>
  <si>
    <t>".</t>
  </si>
  <si>
    <t xml:space="preserve"> while guarding </t>
  </si>
  <si>
    <t xml:space="preserve"> while guarding their </t>
  </si>
  <si>
    <t>. To ease that need, your client may overgeneralize by saying "</t>
  </si>
  <si>
    <t>" while the other side overgeneralizes by saying "</t>
  </si>
  <si>
    <t xml:space="preserve">. The other side generalizes </t>
  </si>
  <si>
    <t xml:space="preserve">Through the lens of their psychosocial orientation, your client views the affected needs of </t>
  </si>
  <si>
    <t xml:space="preserve"> over the affected needs of </t>
  </si>
  <si>
    <t xml:space="preserve">. Their priority of needs compels them to </t>
  </si>
  <si>
    <t xml:space="preserve">. They can hardly empathize with the other side's priority to </t>
  </si>
  <si>
    <t xml:space="preserve">Spurred into further generalizing, each side imagines the worst in the other. Your client may express outrage that </t>
  </si>
  <si>
    <t xml:space="preserve"> or </t>
  </si>
  <si>
    <t xml:space="preserve">Democrats </t>
  </si>
  <si>
    <t xml:space="preserve">Republicans </t>
  </si>
  <si>
    <t>You have no need to debate when you can more honestly relate.</t>
  </si>
  <si>
    <t>De-alienating</t>
  </si>
  <si>
    <t>De-polarizing</t>
  </si>
  <si>
    <t>De-generalizing</t>
  </si>
  <si>
    <t>TAKEAWAY</t>
  </si>
  <si>
    <t>We cannot solve our specific problems from the level of generalizing that created them.</t>
  </si>
  <si>
    <t>agree</t>
  </si>
  <si>
    <t>disagree</t>
  </si>
  <si>
    <t xml:space="preserve">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t>
  </si>
  <si>
    <t xml:space="preserve"> than to vulnerably admit they struggle with </t>
  </si>
  <si>
    <t xml:space="preserve">It generally is easier for them to change their expressed views than alter their politically charged feelings. They personally cannot do much about the issue of </t>
  </si>
  <si>
    <t xml:space="preserve">, but they can feel supported by those who agree with their </t>
  </si>
  <si>
    <t xml:space="preserve"> stance. Their feeling of </t>
  </si>
  <si>
    <t xml:space="preserve"> express the vulnerability of their publicly affected needs. They cannot change those feelings or their vulnerable needs for </t>
  </si>
  <si>
    <t xml:space="preserve"> as easily as they can alter their </t>
  </si>
  <si>
    <t xml:space="preserve"> views to fit a friendly or hostile audience. </t>
  </si>
  <si>
    <t xml:space="preserve">You peal back their layers of protected alienation to help resolve their deeper needs. Harmony Politics helps you reverse engineer their emotionally charged </t>
  </si>
  <si>
    <t xml:space="preserve"> could undermine this intimate journey into greater self-awareness.</t>
  </si>
  <si>
    <t xml:space="preserve"> with their </t>
  </si>
  <si>
    <t xml:space="preserve">. If you miss this opportunity to connect beyond their </t>
  </si>
  <si>
    <t xml:space="preserve"> stance on </t>
  </si>
  <si>
    <r>
      <t>In large societies like ours, we rely on impersonal norms to ensure we minimally respect each other's public facing needs. Politics contest if those norms should favor easing those needs mostly through others (</t>
    </r>
    <r>
      <rPr>
        <b/>
        <i/>
        <sz val="12"/>
        <color theme="1"/>
        <rFont val="Cambria"/>
        <family val="1"/>
      </rPr>
      <t>wide-oriented</t>
    </r>
    <r>
      <rPr>
        <sz val="12"/>
        <color theme="1"/>
        <rFont val="Cambria"/>
        <family val="1"/>
      </rPr>
      <t>) or mostly on one's own (</t>
    </r>
    <r>
      <rPr>
        <b/>
        <i/>
        <sz val="12"/>
        <color theme="1"/>
        <rFont val="Cambria"/>
        <family val="1"/>
      </rPr>
      <t>deep-oriented</t>
    </r>
    <r>
      <rPr>
        <sz val="12"/>
        <color theme="1"/>
        <rFont val="Cambria"/>
        <family val="1"/>
      </rPr>
      <t xml:space="preserve">). Without knowing each other's needs personally, we expect others to conform to </t>
    </r>
    <r>
      <rPr>
        <b/>
        <sz val="12"/>
        <color theme="1"/>
        <rFont val="Cambria"/>
        <family val="1"/>
      </rPr>
      <t>public norms</t>
    </r>
    <r>
      <rPr>
        <sz val="12"/>
        <color theme="1"/>
        <rFont val="Cambria"/>
        <family val="1"/>
      </rPr>
      <t xml:space="preserve"> to safeguard our public facing needs. This adds to the challenge to knowing your client's affected needs.</t>
    </r>
  </si>
  <si>
    <t>Two wrongs don’t make a right, but sometimes they make a law.</t>
  </si>
  <si>
    <t xml:space="preserve">Too much generalizing pulls both sides into error. Too often, such errors crystallize into overgeneralizing norms contested in politics. We step back from these alienating generalizations to know each other' needs. The more you know another's needs, and the more they know yours, the easier to address each other's needs. Instead of politics prioritizing your own needs, we prioritize the needs of others in the name of love. 
</t>
  </si>
  <si>
    <t xml:space="preserve">The less your client's </t>
  </si>
  <si>
    <t xml:space="preserve">Instead of overgeneralizing by insisting we must </t>
  </si>
  <si>
    <t xml:space="preserve">. Ask your client how it impacts what they need when the other side insists we must </t>
  </si>
  <si>
    <t xml:space="preserve">. You remain present for their painful reaction. You focus their attention to specific needs, like the need </t>
  </si>
  <si>
    <t xml:space="preserve"> and for </t>
  </si>
  <si>
    <t xml:space="preserve">. The more your client can empathize with </t>
  </si>
  <si>
    <t xml:space="preserve">. You ask them if they still think this is more important than the need </t>
  </si>
  <si>
    <t xml:space="preserve">, ask them if this can make it easier for the other side to empathize with </t>
  </si>
  <si>
    <t xml:space="preserve"> affected needs, you can help free their focus on their impacted psychosocial needs. You can then segue to de-polarizing.
</t>
  </si>
  <si>
    <r>
      <t xml:space="preserve">Divisive politics tends to be </t>
    </r>
    <r>
      <rPr>
        <b/>
        <sz val="12"/>
        <color theme="1"/>
        <rFont val="Cambria"/>
        <family val="1"/>
      </rPr>
      <t>FAKE</t>
    </r>
    <r>
      <rPr>
        <sz val="12"/>
        <color theme="1"/>
        <rFont val="Cambria"/>
        <family val="1"/>
      </rPr>
      <t xml:space="preserve">, </t>
    </r>
    <r>
      <rPr>
        <b/>
        <sz val="12"/>
        <color theme="1"/>
        <rFont val="Cambria"/>
        <family val="1"/>
      </rPr>
      <t>f</t>
    </r>
    <r>
      <rPr>
        <sz val="12"/>
        <color theme="1"/>
        <rFont val="Cambria"/>
        <family val="1"/>
      </rPr>
      <t xml:space="preserve">reely </t>
    </r>
    <r>
      <rPr>
        <b/>
        <sz val="12"/>
        <color theme="1"/>
        <rFont val="Cambria"/>
        <family val="1"/>
      </rPr>
      <t>a</t>
    </r>
    <r>
      <rPr>
        <sz val="12"/>
        <color theme="1"/>
        <rFont val="Cambria"/>
        <family val="1"/>
      </rPr>
      <t xml:space="preserve">nd </t>
    </r>
    <r>
      <rPr>
        <b/>
        <sz val="12"/>
        <color theme="1"/>
        <rFont val="Cambria"/>
        <family val="1"/>
      </rPr>
      <t>k</t>
    </r>
    <r>
      <rPr>
        <sz val="12"/>
        <color theme="1"/>
        <rFont val="Cambria"/>
        <family val="1"/>
      </rPr>
      <t xml:space="preserve">nowingly </t>
    </r>
    <r>
      <rPr>
        <b/>
        <sz val="12"/>
        <color theme="1"/>
        <rFont val="Cambria"/>
        <family val="1"/>
      </rPr>
      <t>e</t>
    </r>
    <r>
      <rPr>
        <sz val="12"/>
        <color theme="1"/>
        <rFont val="Cambria"/>
        <family val="1"/>
      </rPr>
      <t xml:space="preserve">xaggerated. Politics serves better as a window than a door. You can peer in with its broad generalizations, but cannot enter into meaningful solutions without first shifting to applicable specifics. Too often, politics fails to become that stepping stone to relevant specifics. Too often, politics hardens into stumbling blocks of self-serving exaggerations.
</t>
    </r>
  </si>
  <si>
    <r>
      <t xml:space="preserve">This process of stepping gradually away from generalizing is called </t>
    </r>
    <r>
      <rPr>
        <b/>
        <sz val="12"/>
        <color theme="1"/>
        <rFont val="Cambria"/>
        <family val="1"/>
      </rPr>
      <t>degeneralizing</t>
    </r>
    <r>
      <rPr>
        <sz val="12"/>
        <color theme="1"/>
        <rFont val="Cambria"/>
        <family val="1"/>
      </rPr>
      <t xml:space="preserve">. Instead of bouncing back and forth between broad generalizations, you guide your client to transition from trusted generalizing to something a little less general. You support their shift from </t>
    </r>
    <r>
      <rPr>
        <i/>
        <sz val="12"/>
        <color theme="1"/>
        <rFont val="Cambria"/>
        <family val="1"/>
      </rPr>
      <t>pain-avoiding generalizations</t>
    </r>
    <r>
      <rPr>
        <sz val="12"/>
        <color theme="1"/>
        <rFont val="Cambria"/>
        <family val="1"/>
      </rPr>
      <t xml:space="preserve"> to </t>
    </r>
    <r>
      <rPr>
        <i/>
        <sz val="12"/>
        <color theme="1"/>
        <rFont val="Cambria"/>
        <family val="1"/>
      </rPr>
      <t>need-resolving specifics</t>
    </r>
    <r>
      <rPr>
        <sz val="12"/>
        <color theme="1"/>
        <rFont val="Cambria"/>
        <family val="1"/>
      </rPr>
      <t xml:space="preserve">, one purposeful step at a time. You add some disinfecting sunlight to what fuels their exaggerations, their unresolved needs. You help them remove the poison of alienation.
</t>
    </r>
  </si>
  <si>
    <t>?</t>
  </si>
  <si>
    <t xml:space="preserve"> as merely an exception to your client side's sound arguments. </t>
  </si>
  <si>
    <t xml:space="preserve">, or something like it, ask what that would do for them if allowed to come to past. Would that satisfy their apparent need for </t>
  </si>
  <si>
    <t xml:space="preserve"> as examplary of the other side, while characterizing anyone on the client's side who argues to </t>
  </si>
  <si>
    <t xml:space="preserve">. Since this pain-relief does not resolve the needs provoking such pain, your client's </t>
  </si>
  <si>
    <t xml:space="preserve">-related pain persists. Your client risks staying shallow and alienated to cope with unending pain of their unresolved needs. Shift from that overgeneralizing binary to deeper understanding of your client's </t>
  </si>
  <si>
    <t xml:space="preserve">-impacted needs.
</t>
  </si>
  <si>
    <t xml:space="preserve"> or against </t>
  </si>
  <si>
    <t xml:space="preserve">, or some similar generalization for relief, you help them identify and express their specific </t>
  </si>
  <si>
    <t xml:space="preserve">-affected needs. You guide them to see how their unique situation prompts them to </t>
  </si>
  <si>
    <t xml:space="preserve"> over </t>
  </si>
  <si>
    <r>
      <t xml:space="preserve">This process of going deeper to connect both sides is called </t>
    </r>
    <r>
      <rPr>
        <b/>
        <sz val="12"/>
        <color rgb="FF000000"/>
        <rFont val="Cambria"/>
        <family val="1"/>
      </rPr>
      <t>dealienating</t>
    </r>
    <r>
      <rPr>
        <sz val="12"/>
        <color rgb="FF000000"/>
        <rFont val="Cambria"/>
        <family val="1"/>
      </rPr>
      <t xml:space="preserve">. Instead of settling for alienating norms, you guide your client to transition from disappointing expectations of others to knowing what you can actually do for each other. You support their shift from </t>
    </r>
    <r>
      <rPr>
        <i/>
        <sz val="12"/>
        <color rgb="FF000000"/>
        <rFont val="Cambria"/>
        <family val="1"/>
      </rPr>
      <t>normative alienation</t>
    </r>
    <r>
      <rPr>
        <sz val="12"/>
        <color rgb="FF000000"/>
        <rFont val="Cambria"/>
        <family val="1"/>
      </rPr>
      <t xml:space="preserve"> to </t>
    </r>
    <r>
      <rPr>
        <i/>
        <sz val="12"/>
        <color rgb="FF000000"/>
        <rFont val="Cambria"/>
        <family val="1"/>
      </rPr>
      <t>mutual expression of affected needs</t>
    </r>
    <r>
      <rPr>
        <sz val="12"/>
        <color rgb="FF000000"/>
        <rFont val="Cambria"/>
        <family val="1"/>
      </rPr>
      <t>. You help them upend the status quo of political leaders dictating what they should believe and do. You help them reverse the trap of sliding into political polarization.</t>
    </r>
  </si>
  <si>
    <t xml:space="preserve">If your client ever thought of the other side as full of repugnant </t>
  </si>
  <si>
    <t xml:space="preserve">As you support resolving their affected self-needs on par with resolving their affected social-needs, you see their polarization gradually collapse. You nurture their conciliation between a wide and deep orientation to </t>
  </si>
  <si>
    <t xml:space="preserve">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t>
  </si>
  <si>
    <t>, you focus on their less visibly affected psychosocial needs.</t>
  </si>
  <si>
    <t xml:space="preserve"> depends on their deeper unmet psychosocial need for </t>
  </si>
  <si>
    <t xml:space="preserve"> and their guarded psychosocial need for </t>
  </si>
  <si>
    <t xml:space="preserve"> because their need behind their desire </t>
  </si>
  <si>
    <t xml:space="preserve"> remains unresolved. Their desire </t>
  </si>
  <si>
    <r>
      <t xml:space="preserve">This process of conciliating both sides is called </t>
    </r>
    <r>
      <rPr>
        <b/>
        <sz val="12"/>
        <color rgb="FF000000"/>
        <rFont val="Cambria"/>
        <family val="1"/>
      </rPr>
      <t>depolarizing</t>
    </r>
    <r>
      <rPr>
        <sz val="12"/>
        <color rgb="FF000000"/>
        <rFont val="Cambria"/>
        <family val="1"/>
      </rPr>
      <t xml:space="preserve">. Instead of pitting one side's priority of needs against the other's priority of needs, you guide your client to recognize the pressing needs on both sides of the issue. You support their shift from </t>
    </r>
    <r>
      <rPr>
        <i/>
        <sz val="12"/>
        <color rgb="FF000000"/>
        <rFont val="Cambria"/>
        <family val="1"/>
      </rPr>
      <t>mutual hostilities</t>
    </r>
    <r>
      <rPr>
        <sz val="12"/>
        <color rgb="FF000000"/>
        <rFont val="Cambria"/>
        <family val="1"/>
      </rPr>
      <t xml:space="preserve"> to </t>
    </r>
    <r>
      <rPr>
        <i/>
        <sz val="12"/>
        <color rgb="FF000000"/>
        <rFont val="Cambria"/>
        <family val="1"/>
      </rPr>
      <t>mutual resolution of relevant needs</t>
    </r>
    <r>
      <rPr>
        <sz val="12"/>
        <color rgb="FF000000"/>
        <rFont val="Cambria"/>
        <family val="1"/>
      </rPr>
      <t>. You help them connect resolution of their publicly affected needs with the other side being able to resolve their publicly affected needs. You help them spread some need-resolving love.</t>
    </r>
  </si>
  <si>
    <t>Popular politics tempts us to be disivisive. We are told we must each take a packaged side, generalizations and all. We are to skip any nuance to hold our coalition together. Staying neutral, they say, makes us complicit with the wrong side. We must fight for what we know is right, after accepting the generalization that others with an opposing priority of needs must be wrong. But you realize soon enough how opposing what another needs does not extinguish moral conflict, but enflames it.</t>
  </si>
  <si>
    <t xml:space="preserve">Harmony Politics counters such divisive politics in three phases: </t>
  </si>
  <si>
    <r>
      <t xml:space="preserve">The Internet empowers your client to access all kinds of helpful information. They can research CBT for themselves, or the latest research on evidence-based therapies to treat addictions. The more they factcheck what they hear from you, or from the media, or from others, the more suspicious of your acclaimed expertise. In our current populist political climate, you may come face to face with your client's </t>
    </r>
    <r>
      <rPr>
        <b/>
        <i/>
        <sz val="12"/>
        <color theme="1"/>
        <rFont val="Cambria"/>
        <family val="1"/>
      </rPr>
      <t>relational orientation</t>
    </r>
    <r>
      <rPr>
        <sz val="12"/>
        <color theme="1"/>
        <rFont val="Cambria"/>
        <family val="1"/>
      </rPr>
      <t xml:space="preserve"> and </t>
    </r>
    <r>
      <rPr>
        <b/>
        <i/>
        <sz val="12"/>
        <color theme="1"/>
        <rFont val="Cambria"/>
        <family val="1"/>
      </rPr>
      <t>easement orientation</t>
    </r>
    <r>
      <rPr>
        <sz val="12"/>
        <color theme="1"/>
        <rFont val="Cambria"/>
        <family val="1"/>
      </rPr>
      <t>.</t>
    </r>
  </si>
  <si>
    <r>
      <t xml:space="preserve">1)  </t>
    </r>
    <r>
      <rPr>
        <b/>
        <i/>
        <sz val="12"/>
        <color theme="1"/>
        <rFont val="Cambria"/>
        <family val="1"/>
      </rPr>
      <t>Identify</t>
    </r>
    <r>
      <rPr>
        <sz val="12"/>
        <color theme="1"/>
        <rFont val="Cambria"/>
        <family val="1"/>
      </rPr>
      <t xml:space="preserve"> affected needs</t>
    </r>
  </si>
  <si>
    <r>
      <t xml:space="preserve">2)  </t>
    </r>
    <r>
      <rPr>
        <b/>
        <i/>
        <sz val="12"/>
        <color theme="1"/>
        <rFont val="Cambria"/>
        <family val="1"/>
      </rPr>
      <t>Express</t>
    </r>
    <r>
      <rPr>
        <sz val="12"/>
        <color theme="1"/>
        <rFont val="Cambria"/>
        <family val="1"/>
      </rPr>
      <t xml:space="preserve"> affected needs</t>
    </r>
  </si>
  <si>
    <r>
      <t xml:space="preserve">3)  </t>
    </r>
    <r>
      <rPr>
        <b/>
        <i/>
        <sz val="12"/>
        <color theme="1"/>
        <rFont val="Cambria"/>
        <family val="1"/>
      </rPr>
      <t>Address</t>
    </r>
    <r>
      <rPr>
        <sz val="12"/>
        <color theme="1"/>
        <rFont val="Cambria"/>
        <family val="1"/>
      </rPr>
      <t xml:space="preserve"> affected needs</t>
    </r>
  </si>
  <si>
    <t>- to "de-generalize" from overgeneralizing</t>
  </si>
  <si>
    <t>- to "de-alienate" from disappointing expectations</t>
  </si>
  <si>
    <t>- to "de-polarize" from mutual hostilities</t>
  </si>
  <si>
    <t>Political issue raised by your client:</t>
  </si>
  <si>
    <t>Your client's likely political outlook:</t>
  </si>
  <si>
    <t>Your likely political outlook:</t>
  </si>
  <si>
    <t>We must resist government tyranny.</t>
  </si>
  <si>
    <t>We must overcome historical oppression.</t>
  </si>
  <si>
    <t>We all must live equally.</t>
  </si>
  <si>
    <t>We must prioritize the most vulnerable.</t>
  </si>
  <si>
    <t>We must prioritize the most productive.</t>
  </si>
  <si>
    <t>We must first improve our collective capacity.</t>
  </si>
  <si>
    <t>We must first improve our individual capacity.</t>
  </si>
  <si>
    <t>We need the public goods of government.</t>
  </si>
  <si>
    <t>We need the private goods of free enterprise.</t>
  </si>
  <si>
    <t>It must be efficient for the meritorious few.</t>
  </si>
  <si>
    <t>Individuals must live freely.</t>
  </si>
  <si>
    <t>Let us be different and find full inclusion.</t>
  </si>
  <si>
    <t>Let us be traditional and guard our cohesion.</t>
  </si>
  <si>
    <t>Minority groups still risk trauma.</t>
  </si>
  <si>
    <t>Patriotic individuals still risk terror.</t>
  </si>
  <si>
    <t>Select best response that fits you for each.</t>
  </si>
  <si>
    <t>Select best response that fits your client for each.</t>
  </si>
  <si>
    <t xml:space="preserve">According to your responses, you are more </t>
  </si>
  <si>
    <t xml:space="preserve"> than </t>
  </si>
  <si>
    <t xml:space="preserve">According to your responses, your client is more </t>
  </si>
  <si>
    <t>independent</t>
  </si>
  <si>
    <t>According to your responses, you are an independent.</t>
  </si>
  <si>
    <t>NOTE: This tool will not work properly until you select a political outlook for yourself.</t>
  </si>
  <si>
    <t>NOTE: This tool will not work properly until you select a political outlook for your client.</t>
  </si>
  <si>
    <t>Please fill in each of the eight items to estimate your political view.</t>
  </si>
  <si>
    <t>Please fill in each of the eight items to estimate your client's political view.</t>
  </si>
  <si>
    <t xml:space="preserve">We simplify your outlook as primarily </t>
  </si>
  <si>
    <t xml:space="preserve">We simplify your client's outlook as primarily </t>
  </si>
  <si>
    <t>. No need to fill out.</t>
  </si>
  <si>
    <t>. No need to complete this.</t>
  </si>
  <si>
    <t>It must be effective for the needy many.</t>
  </si>
  <si>
    <t xml:space="preserve">Politics runs thick with generalizing. Your specific experiences in life may resist fitting neatly into the liberal-conservative divide. Your client may also defy simple categorizing. A client may present a liberal position on one issue and a more conservative stance on other issues. After engaging others of an opposing political side and empathizing with their affected needs, your client may shift their position. Your client may be processing their feelings and beliefs about a hot botton issue right now, using you as a sounding board. With all that in mind, let this serve as a rule of thumb. Let us move beyond popular politics. 
</t>
  </si>
  <si>
    <t xml:space="preserve">Popular politics tempts us to trust generalizing to deal with our many specific problems of unresolved needs.
</t>
  </si>
  <si>
    <t>To summarize, you realize politics is not as rationally based as widely assumed. Rather, you see your client using guarded political views to leak out their vulnerable needs. You now can tap into your client's sensitive needs by reverse engineering their political expression. You replace debating with deeper relating, toward resolving the underlying needs.</t>
  </si>
  <si>
    <r>
      <rPr>
        <b/>
        <sz val="12"/>
        <color theme="1"/>
        <rFont val="Cambria"/>
        <family val="1"/>
      </rPr>
      <t>1. Divisive politics misplaces the conflict. Harmony Politics refocuses on affected needs</t>
    </r>
    <r>
      <rPr>
        <sz val="12"/>
        <color theme="1"/>
        <rFont val="Cambria"/>
        <family val="1"/>
      </rPr>
      <t xml:space="preserve">.
</t>
    </r>
    <r>
      <rPr>
        <sz val="11"/>
        <color theme="1"/>
        <rFont val="Cambria"/>
        <family val="1"/>
      </rPr>
      <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t>
    </r>
    <r>
      <rPr>
        <sz val="12"/>
        <color theme="1"/>
        <rFont val="Cambria"/>
        <family val="1"/>
      </rPr>
      <t xml:space="preserve">
</t>
    </r>
  </si>
  <si>
    <r>
      <rPr>
        <b/>
        <sz val="12"/>
        <color theme="1"/>
        <rFont val="Cambria"/>
        <family val="1"/>
      </rPr>
      <t>2. Divisive politics relies extensively on generalizing. Harmony Politics gets to specifics.</t>
    </r>
    <r>
      <rPr>
        <sz val="12"/>
        <color theme="1"/>
        <rFont val="Cambria"/>
        <family val="1"/>
      </rPr>
      <t xml:space="preserve">
</t>
    </r>
    <r>
      <rPr>
        <sz val="11"/>
        <color theme="1"/>
        <rFont val="Cambria"/>
        <family val="1"/>
      </rPr>
      <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t>
    </r>
  </si>
  <si>
    <r>
      <rPr>
        <b/>
        <sz val="12"/>
        <color theme="1"/>
        <rFont val="Cambria"/>
        <family val="1"/>
      </rPr>
      <t>3. Divisive politics assumes too much choice. Harmony Politics points to unchosen needs.</t>
    </r>
    <r>
      <rPr>
        <sz val="12"/>
        <color theme="1"/>
        <rFont val="Cambria"/>
        <family val="1"/>
      </rPr>
      <t xml:space="preserve">
</t>
    </r>
    <r>
      <rPr>
        <sz val="11"/>
        <color theme="1"/>
        <rFont val="Cambria"/>
        <family val="1"/>
      </rPr>
      <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t>
    </r>
  </si>
  <si>
    <t>Introducing psychosociotherapy</t>
  </si>
  <si>
    <t>blacklisted</t>
  </si>
  <si>
    <t>generalize to relieve</t>
  </si>
  <si>
    <t>guard more resolved</t>
  </si>
  <si>
    <t>References</t>
  </si>
  <si>
    <t>mass shooting victims</t>
  </si>
  <si>
    <t>the insured</t>
  </si>
  <si>
    <t>see healthcare as a right</t>
  </si>
  <si>
    <t>the accused</t>
  </si>
  <si>
    <t>POC</t>
  </si>
  <si>
    <t>tradition</t>
  </si>
  <si>
    <t>POC voters</t>
  </si>
  <si>
    <t>remove all barriers to voting</t>
  </si>
  <si>
    <t>those least heard</t>
  </si>
  <si>
    <t>those with most to say</t>
  </si>
  <si>
    <t>psychosociotherapy</t>
  </si>
  <si>
    <t>. Your client likely feels stuck in emotional pain until sufficient balance removes that pain. Political generalizing offers relief from that pain. For both sides.</t>
  </si>
  <si>
    <t xml:space="preserve">If you have lost clients in the past over political differences, you can now reach out to them and tell them you have learned from your mistakes. Or you can start branding yourself to new clients as a counselor who embraces all regardless of ideology. Well, as long as the client's political expression does not immediately threaten you.
</t>
  </si>
  <si>
    <r>
      <t xml:space="preserve">Counselors are known to be wounded warriors, who professionally help others in ways they once needed such help. You have opportunity to help your clients heal up their political battle scars. With these </t>
    </r>
    <r>
      <rPr>
        <i/>
        <sz val="12"/>
        <color rgb="FF000000"/>
        <rFont val="Cambria"/>
        <family val="1"/>
      </rPr>
      <t>anankelogical</t>
    </r>
    <r>
      <rPr>
        <sz val="12"/>
        <color rgb="FF000000"/>
        <rFont val="Cambria"/>
        <family val="1"/>
      </rPr>
      <t xml:space="preserve"> tools for resolving needs, you help your client make the leap from seeking help to being in a qualified position to passionately help others. Along the way, you brand yourself to a helper who more than help others recover but to also thrive. Ask me what else psychosociotherapy can do for your practice.</t>
    </r>
  </si>
  <si>
    <t>impact parity model</t>
  </si>
  <si>
    <r>
      <rPr>
        <b/>
        <i/>
        <sz val="11"/>
        <color theme="1"/>
        <rFont val="Cambria"/>
        <family val="1"/>
      </rPr>
      <t>Power relations</t>
    </r>
    <r>
      <rPr>
        <sz val="11"/>
        <color theme="1"/>
        <rFont val="Cambria"/>
        <family val="1"/>
      </rPr>
      <t xml:space="preserve"> easily distort how well each side can resolve their needs. Your client hits a wall when doing all they can to change themselves to fit into a problematic environment. Now you can inspire them to shift focus from adjusting themselves to fit powerful others to incentivizing powerful others to fit the needs of your distressed client.</t>
    </r>
  </si>
  <si>
    <t>need-response field</t>
  </si>
  <si>
    <t>Applied anankelogy creates a new field focused on serving specific needs as they occur.</t>
  </si>
  <si>
    <r>
      <t xml:space="preserve">Your client's psychosocial orientation presents a </t>
    </r>
    <r>
      <rPr>
        <i/>
        <sz val="12"/>
        <color theme="1"/>
        <rFont val="Cambria"/>
        <family val="1"/>
      </rPr>
      <t>strong side</t>
    </r>
    <r>
      <rPr>
        <sz val="12"/>
        <color theme="1"/>
        <rFont val="Cambria"/>
        <family val="1"/>
      </rPr>
      <t xml:space="preserve"> and </t>
    </r>
    <r>
      <rPr>
        <i/>
        <sz val="12"/>
        <color theme="1"/>
        <rFont val="Cambria"/>
        <family val="1"/>
      </rPr>
      <t>weak side</t>
    </r>
    <r>
      <rPr>
        <sz val="12"/>
        <color theme="1"/>
        <rFont val="Cambria"/>
        <family val="1"/>
      </rPr>
      <t xml:space="preserve">. Guarding their more resolved need is their strong side. Generalizing to relieve their other need is their weak side. The opposing side flips these. Each side can demonstrate more love by 1) respectfully conveying to the other side the impact of a political loss, and 2) asking how a win could impact the needs of the other side. Meaningful competion is not between political winners and losers, but between who can create the most value by resolving needs and those stuck in pain-relieving generalizing. It is not what your client gets from political battles, but what they give.
</t>
    </r>
  </si>
  <si>
    <r>
      <t xml:space="preserve">Your client's internal therapeutic changes are more sustainable when their external threats are addressed. </t>
    </r>
    <r>
      <rPr>
        <b/>
        <sz val="12"/>
        <color theme="1"/>
        <rFont val="Cambria"/>
        <family val="1"/>
      </rPr>
      <t>Psychosociotherapy</t>
    </r>
    <r>
      <rPr>
        <sz val="12"/>
        <color theme="1"/>
        <rFont val="Cambria"/>
        <family val="1"/>
      </rPr>
      <t xml:space="preserve"> using </t>
    </r>
    <r>
      <rPr>
        <b/>
        <sz val="12"/>
        <color theme="1"/>
        <rFont val="Cambria"/>
        <family val="1"/>
      </rPr>
      <t>need-response</t>
    </r>
    <r>
      <rPr>
        <sz val="12"/>
        <color theme="1"/>
        <rFont val="Cambria"/>
        <family val="1"/>
      </rPr>
      <t xml:space="preserve"> adds this needed depth to counseling. I look forward to working with you to resolve specific power-impacted needs between your client and powerful others. To grow love we all need.</t>
    </r>
  </si>
  <si>
    <t>Harmony Politics is one of many spreadsheet tools under development. Check out more.</t>
  </si>
  <si>
    <r>
      <rPr>
        <b/>
        <sz val="13"/>
        <color theme="9" tint="-0.249977111117893"/>
        <rFont val="Tahoma"/>
        <family val="2"/>
      </rPr>
      <t>Harmony</t>
    </r>
    <r>
      <rPr>
        <b/>
        <sz val="13"/>
        <color theme="1"/>
        <rFont val="Tahoma"/>
        <family val="2"/>
      </rPr>
      <t xml:space="preserve"> </t>
    </r>
    <r>
      <rPr>
        <b/>
        <sz val="13"/>
        <color rgb="FF7030A0"/>
        <rFont val="Tahoma"/>
        <family val="2"/>
      </rPr>
      <t>Politics</t>
    </r>
    <r>
      <rPr>
        <sz val="10"/>
        <color theme="1"/>
        <rFont val="Cambria"/>
        <family val="1"/>
      </rPr>
      <t xml:space="preserve">
Link your political outlook to your psychosocial and other publicly affected needs. Empathize fully with both politcal sides.</t>
    </r>
  </si>
  <si>
    <r>
      <rPr>
        <b/>
        <sz val="13"/>
        <color theme="9" tint="-0.249977111117893"/>
        <rFont val="Tahoma"/>
        <family val="2"/>
      </rPr>
      <t>Exaction</t>
    </r>
    <r>
      <rPr>
        <b/>
        <sz val="13"/>
        <color theme="1"/>
        <rFont val="Tahoma"/>
        <family val="2"/>
      </rPr>
      <t xml:space="preserve"> </t>
    </r>
    <r>
      <rPr>
        <b/>
        <sz val="13"/>
        <color rgb="FF7030A0"/>
        <rFont val="Tahoma"/>
        <family val="2"/>
      </rPr>
      <t>Invoice</t>
    </r>
    <r>
      <rPr>
        <sz val="10"/>
        <color theme="1"/>
        <rFont val="Cambria"/>
        <family val="1"/>
      </rPr>
      <t xml:space="preserve">
Identify and report hidden costs of  coerced compliance. Put a price on power's negative influence on you. Hold power accountable.</t>
    </r>
  </si>
  <si>
    <r>
      <rPr>
        <b/>
        <sz val="13"/>
        <color theme="9" tint="-0.249977111117893"/>
        <rFont val="Tahoma"/>
        <family val="2"/>
      </rPr>
      <t>Legitimacy</t>
    </r>
    <r>
      <rPr>
        <b/>
        <sz val="13"/>
        <color theme="1"/>
        <rFont val="Tahoma"/>
        <family val="2"/>
      </rPr>
      <t xml:space="preserve"> </t>
    </r>
    <r>
      <rPr>
        <b/>
        <sz val="13"/>
        <color rgb="FF7030A0"/>
        <rFont val="Tahoma"/>
        <family val="2"/>
      </rPr>
      <t>Audit</t>
    </r>
    <r>
      <rPr>
        <sz val="10"/>
        <color theme="1"/>
        <rFont val="Cambria"/>
        <family val="1"/>
      </rPr>
      <t xml:space="preserve">
Check various authority's level of responsiveness to entrusted needs. Link that gaged responsiveness to how willingly involved in your life.</t>
    </r>
  </si>
  <si>
    <r>
      <rPr>
        <b/>
        <sz val="13"/>
        <color theme="9" tint="-0.249977111117893"/>
        <rFont val="Tahoma"/>
        <family val="2"/>
      </rPr>
      <t>Liberty</t>
    </r>
    <r>
      <rPr>
        <b/>
        <sz val="13"/>
        <color theme="1"/>
        <rFont val="Tahoma"/>
        <family val="2"/>
      </rPr>
      <t xml:space="preserve"> </t>
    </r>
    <r>
      <rPr>
        <b/>
        <sz val="13"/>
        <color rgb="FF7030A0"/>
        <rFont val="Tahoma"/>
        <family val="2"/>
      </rPr>
      <t>Avowal</t>
    </r>
    <r>
      <rPr>
        <sz val="10"/>
        <color theme="1"/>
        <rFont val="Cambria"/>
        <family val="1"/>
      </rPr>
      <t xml:space="preserve">
Declare your liberty resolve needs. Replace alienation of impersonal norms with a loving passion to resolve each other's affected needs.</t>
    </r>
  </si>
  <si>
    <r>
      <rPr>
        <sz val="12"/>
        <rFont val="Cambria"/>
        <family val="1"/>
      </rPr>
      <t xml:space="preserve">You can invite me to join a special session with your client, if necessary. With your client's informed decision, and their every HIPAA right and other concern covered in an agreeable </t>
    </r>
    <r>
      <rPr>
        <sz val="12"/>
        <color rgb="FF0070C0"/>
        <rFont val="Cambria"/>
        <family val="1"/>
      </rPr>
      <t>business associate contract</t>
    </r>
    <r>
      <rPr>
        <vertAlign val="superscript"/>
        <sz val="12"/>
        <color rgb="FF0070C0"/>
        <rFont val="Cambria"/>
        <family val="1"/>
      </rPr>
      <t>4</t>
    </r>
    <r>
      <rPr>
        <sz val="12"/>
        <rFont val="Cambria"/>
        <family val="1"/>
      </rPr>
      <t>, I can introduce you and your client to psychosociotherapy. It shifts any stigma from the client courageously seeking improvement to those negatively impacting the client, who have yet to show such courageous improvement.</t>
    </r>
  </si>
  <si>
    <t>GO TO</t>
  </si>
  <si>
    <t>i</t>
  </si>
  <si>
    <r>
      <rPr>
        <b/>
        <sz val="13"/>
        <color rgb="FF009646"/>
        <rFont val="Tahoma"/>
        <family val="2"/>
      </rPr>
      <t>Four</t>
    </r>
    <r>
      <rPr>
        <b/>
        <sz val="13"/>
        <color theme="1"/>
        <rFont val="Tahoma"/>
        <family val="2"/>
      </rPr>
      <t xml:space="preserve"> </t>
    </r>
    <r>
      <rPr>
        <b/>
        <sz val="13"/>
        <color rgb="FF7030A0"/>
        <rFont val="Tahoma"/>
        <family val="2"/>
      </rPr>
      <t>Seasons</t>
    </r>
    <r>
      <rPr>
        <sz val="10"/>
        <color theme="1"/>
        <rFont val="Cambria"/>
        <family val="2"/>
      </rPr>
      <t xml:space="preserve">
Enter your birthdate and see your life's seasonal patterns. See how your affected psychosocial needs shapes your political outtlook.</t>
    </r>
  </si>
  <si>
    <r>
      <rPr>
        <b/>
        <sz val="12"/>
        <color theme="9" tint="0.39997558519241921"/>
        <rFont val="Tahoma"/>
        <family val="2"/>
      </rPr>
      <t>solving problems</t>
    </r>
    <r>
      <rPr>
        <b/>
        <sz val="12"/>
        <color rgb="FFFF99FF"/>
        <rFont val="Tahoma"/>
        <family val="2"/>
      </rPr>
      <t xml:space="preserve"> </t>
    </r>
    <r>
      <rPr>
        <b/>
        <sz val="12"/>
        <color theme="0" tint="-0.34998626667073579"/>
        <rFont val="Tahoma"/>
        <family val="2"/>
      </rPr>
      <t>by</t>
    </r>
    <r>
      <rPr>
        <b/>
        <sz val="12"/>
        <color rgb="FFFF99FF"/>
        <rFont val="Tahoma"/>
        <family val="2"/>
      </rPr>
      <t xml:space="preserve"> </t>
    </r>
    <r>
      <rPr>
        <b/>
        <sz val="12"/>
        <color rgb="FFFF00FF"/>
        <rFont val="Tahoma"/>
        <family val="2"/>
      </rPr>
      <t>resolving needs</t>
    </r>
  </si>
  <si>
    <r>
      <rPr>
        <b/>
        <sz val="25"/>
        <color theme="0" tint="-0.34998626667073579"/>
        <rFont val="Tahoma"/>
        <family val="2"/>
      </rPr>
      <t>By</t>
    </r>
    <r>
      <rPr>
        <b/>
        <sz val="25"/>
        <color theme="1"/>
        <rFont val="Tahoma"/>
        <family val="2"/>
      </rPr>
      <t xml:space="preserve"> </t>
    </r>
    <r>
      <rPr>
        <b/>
        <sz val="25"/>
        <color rgb="FFA5FFC8"/>
        <rFont val="Tahoma"/>
        <family val="2"/>
      </rPr>
      <t>Value</t>
    </r>
    <r>
      <rPr>
        <b/>
        <sz val="25"/>
        <color theme="1"/>
        <rFont val="Tahoma"/>
        <family val="2"/>
      </rPr>
      <t xml:space="preserve"> </t>
    </r>
    <r>
      <rPr>
        <b/>
        <sz val="25"/>
        <color rgb="FFFF99FF"/>
        <rFont val="Tahoma"/>
        <family val="2"/>
      </rPr>
      <t>Relating</t>
    </r>
  </si>
  <si>
    <r>
      <t xml:space="preserve">If your </t>
    </r>
    <r>
      <rPr>
        <i/>
        <sz val="10"/>
        <color theme="1"/>
        <rFont val="Cambria"/>
        <family val="1"/>
      </rPr>
      <t>social-needs</t>
    </r>
    <r>
      <rPr>
        <sz val="10"/>
        <color theme="1"/>
        <rFont val="Cambria"/>
        <family val="1"/>
      </rPr>
      <t xml:space="preserve"> resolve more than your </t>
    </r>
    <r>
      <rPr>
        <i/>
        <sz val="10"/>
        <color theme="1"/>
        <rFont val="Cambria"/>
        <family val="1"/>
      </rPr>
      <t>self-needs</t>
    </r>
    <r>
      <rPr>
        <sz val="10"/>
        <color theme="1"/>
        <rFont val="Cambria"/>
        <family val="1"/>
      </rPr>
      <t xml:space="preserve">, because of your life's situation, you become </t>
    </r>
    <r>
      <rPr>
        <b/>
        <sz val="10"/>
        <color theme="1"/>
        <rFont val="Cambria"/>
        <family val="1"/>
      </rPr>
      <t>deep-oriented</t>
    </r>
    <r>
      <rPr>
        <sz val="10"/>
        <color theme="1"/>
        <rFont val="Cambria"/>
        <family val="1"/>
      </rPr>
      <t xml:space="preserve">. You view your prioritized needs through the deep magnifying glass of </t>
    </r>
    <r>
      <rPr>
        <sz val="10"/>
        <color rgb="FF910000"/>
        <rFont val="Cambria"/>
        <family val="1"/>
      </rPr>
      <t>conservatism</t>
    </r>
    <r>
      <rPr>
        <sz val="10"/>
        <color theme="1"/>
        <rFont val="Cambria"/>
        <family val="1"/>
      </rPr>
      <t>.</t>
    </r>
  </si>
  <si>
    <r>
      <t xml:space="preserve">If your </t>
    </r>
    <r>
      <rPr>
        <i/>
        <sz val="10"/>
        <color theme="1"/>
        <rFont val="Cambria"/>
        <family val="1"/>
      </rPr>
      <t>self-needs</t>
    </r>
    <r>
      <rPr>
        <sz val="10"/>
        <color theme="1"/>
        <rFont val="Cambria"/>
        <family val="1"/>
      </rPr>
      <t xml:space="preserve"> resolve more than your </t>
    </r>
    <r>
      <rPr>
        <i/>
        <sz val="10"/>
        <color theme="1"/>
        <rFont val="Cambria"/>
        <family val="1"/>
      </rPr>
      <t>social-needs</t>
    </r>
    <r>
      <rPr>
        <sz val="10"/>
        <color theme="1"/>
        <rFont val="Cambria"/>
        <family val="1"/>
      </rPr>
      <t xml:space="preserve">, because of your life's situation, you become </t>
    </r>
    <r>
      <rPr>
        <b/>
        <sz val="10"/>
        <color theme="1"/>
        <rFont val="Cambria"/>
        <family val="1"/>
      </rPr>
      <t>wide-oriented</t>
    </r>
    <r>
      <rPr>
        <sz val="10"/>
        <color theme="1"/>
        <rFont val="Cambria"/>
        <family val="1"/>
      </rPr>
      <t xml:space="preserve">. You view your prioritized needs through the wide binocular lens of </t>
    </r>
    <r>
      <rPr>
        <sz val="10"/>
        <color rgb="FF003CB4"/>
        <rFont val="Cambria"/>
        <family val="1"/>
      </rPr>
      <t>liberalism</t>
    </r>
    <r>
      <rPr>
        <sz val="10"/>
        <color theme="1"/>
        <rFont val="Cambria"/>
        <family val="1"/>
      </rPr>
      <t>.</t>
    </r>
  </si>
  <si>
    <t>Aims</t>
  </si>
  <si>
    <t>issue</t>
  </si>
  <si>
    <t>yours</t>
  </si>
  <si>
    <t>client's</t>
  </si>
  <si>
    <t>pick:</t>
  </si>
  <si>
    <t xml:space="preserve">-related needs. Second, at the deeper level of their impacted psychosocial needs. </t>
  </si>
  <si>
    <t>Politics allows your client (and you) to express vulnerable needs, under guard of broad support.</t>
  </si>
  <si>
    <t xml:space="preserve">Your client only takes a liberal stance after their self-needs resolve more than their social-needs. They are more certain of their authentic selves than how society will accept them. Your client only takes a conservative stance after their social-needs resolve more than their self-needs. They seek individual rights against encroachment upon their traditional forms of cohesion. 
</t>
  </si>
  <si>
    <t>Mandated protections</t>
  </si>
  <si>
    <t>Elective protections</t>
  </si>
  <si>
    <t>mandated protections</t>
  </si>
  <si>
    <t>socialistic policies</t>
  </si>
  <si>
    <t>capitalistic policies</t>
  </si>
  <si>
    <t>Capitalistic policies</t>
  </si>
  <si>
    <t>Socialistic policies</t>
  </si>
  <si>
    <t>. You offer no judgment how that can serve or hinder their needs.</t>
  </si>
  <si>
    <r>
      <rPr>
        <b/>
        <sz val="12"/>
        <color theme="1"/>
        <rFont val="Cambria"/>
        <family val="1"/>
      </rPr>
      <t xml:space="preserve">Unsure what to consider </t>
    </r>
    <r>
      <rPr>
        <sz val="12"/>
        <color theme="1"/>
        <rFont val="Cambria"/>
        <family val="1"/>
      </rPr>
      <t>as</t>
    </r>
    <r>
      <rPr>
        <b/>
        <sz val="12"/>
        <color theme="1"/>
        <rFont val="Cambria"/>
        <family val="1"/>
      </rPr>
      <t xml:space="preserve"> </t>
    </r>
    <r>
      <rPr>
        <sz val="12"/>
        <color theme="1"/>
        <rFont val="Cambria"/>
        <family val="1"/>
      </rPr>
      <t xml:space="preserve">your political outlook? Or your clients? Then answer these items below to estimate where you each likely fit along the political spectrum. </t>
    </r>
  </si>
  <si>
    <t xml:space="preserve">As an honored role in this helping profession, you are more helpful when guiding your client beyond the fragile certainty of </t>
  </si>
  <si>
    <t xml:space="preserve">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t>
  </si>
  <si>
    <t xml:space="preserve"> expressed in political terms, and the overgeneralizing expectations to ease such prioritized needs, also expressed in political terms. The former is not only legit but often essential. The latter is often problematic, for both sides. </t>
  </si>
  <si>
    <t xml:space="preserve">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
  </si>
  <si>
    <t>The more your client generalizes to ease the pain of such needs, the less these needs resolve. Their public facing needs will continue to provoke more pain.</t>
  </si>
  <si>
    <t>The more your client moves past political generalizing, the easier to resolve such needs. Their public facing needs will then be gradually less painful.</t>
  </si>
  <si>
    <t xml:space="preserve">You need not step onto this path alone. I can coach you to build up your brand as one who builds bridges between opposing political sides. Or simply consult with me on how to apply this to your practice. </t>
  </si>
  <si>
    <t xml:space="preserve"> If you can afford FREE, then you can afford me. I am not charging anything upfront, as I too am building up my brand.</t>
  </si>
  <si>
    <t>That includes earning your client's trust in your expertise.</t>
  </si>
  <si>
    <t>That includes addressing any client distrust in your expertise.</t>
  </si>
  <si>
    <t>You first experience a need, which then prioritizes your attention over other needs. Those on the other political side experience an opposing priority of needs. Your client could experience this opposing priority. If attached to political generalizing, you risk some transference and countertransference with your client. You could needlessly provoke your client's defensiveness. If your client shares your prioritizing of this need, you risk getting lost in the same blind spots with your client. You mitigate by detaching from generalizing.</t>
  </si>
  <si>
    <t>Your shared outlook could still result in some transference and countertransference. You both risk overgeneralizing the client's reaction to their publicly affected needs. You mitigate by detaching from generalizing.</t>
  </si>
  <si>
    <t>Your contrasting outlook could result in some transference and countertransference. You risk provoking your client's defensiveness instead of understanding how they experience their publicly affected needs. You mitigate by detaching from generalizing.</t>
  </si>
  <si>
    <t xml:space="preserve">Through the lens of their psychosocial orientation, your client views the affected needs of their own politial side over the affected needs on the other side. Their intensifying priority of needs compels them to ease their pain first. They can hardly empathize with pain on the other side. Your client likely feels stuck in emotional pain until sufficient resolution removes that pain. Political generalizing offers general relief from that pain. </t>
  </si>
  <si>
    <t xml:space="preserve">Spurred into further generalizing, each side imagines the worst in the other. Your client may express outrage that the other side seems callous to your client's side's suffering. Your client could feel further outraged by the other side overgeneralizing their stance. Such catastrophizing may ease their pain. Rational thinking must take a back seat to the persisting pain of your client's publicly affected needs.
</t>
  </si>
  <si>
    <t xml:space="preserve">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t>
  </si>
  <si>
    <t xml:space="preserve">Any attachment your client has to political generalizations is likely fueled by pain of unresolved needs. Instead of challenging your client's generalizing, invite them to get a little more specific. If they support a contested political stance, ask what that would do for them if allowed to come to past. Would that satisfy their apparent need or simply ease the pain?
</t>
  </si>
  <si>
    <t xml:space="preserve">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how others are respect their politicized need than to admit their underlying emotional pain.
</t>
  </si>
  <si>
    <t xml:space="preserve">It generally is easier for them to change their expressed views than alter their politically charged feelings. They personally cannot do much about how others respect their public facing needs, but they can feel supported by those who agree with their particular stance. Their underlying feelings express the vulnerability of their publicly affected needs. They cannot change those feelings or their vulnerable needs as easily as they can alter their political views to fit a friendly or hostile audience. 
</t>
  </si>
  <si>
    <t xml:space="preserve">Your client can feel alienated from you when you stay at the popularly expected level of agreement-disagreement. They likely expect you to </t>
  </si>
  <si>
    <t>Your client can feel alienated from you when you stay at the popularly expected level of agreement-disagreement. They likely expect you to agree with their political stance on a raised issue. If you miss this opportunity to connect beyond their political views, with a hint of disagreement, the client reflexively self-censors their politically charged feelings. They tested the waters and withdrew. They cannot change the needs fueling those feelings. They can more easily change your relation with you. This missed opportunity risks leaving your client stuck in alienation.</t>
  </si>
  <si>
    <t xml:space="preserv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t>
  </si>
  <si>
    <t>Popular politics entices you and your client to stay shallow and alienated. You both are given a generalization to agree or disagree, with little room for nuance. If your client attaches to a widely supported position, it should ease their politicized pain.  Since this pain-relief does not resolve the needs provoking such pain, your client's politicized pain persists. Your client risks staying shallow and alienated to cope with unending pain of their unresolved needs. Shift from that overgeneralizing binary to deeper understanding of your client's politicized needs.</t>
  </si>
  <si>
    <t>Harmony Politics encourages you to go deep and connect with your client's and anyone's political views. Instead of arguing for one position against another, or some similar generalization for relief, you help them identify and express their specific affected needs. You guide them to see how their unique situation prompts them to prioritize one need over another. After seeing why each side prioritizes their particular needs, your client can appreciate politics is relative to needs. Then they can go deep and connect with political others, just as you went deep and connected with them.</t>
  </si>
  <si>
    <t xml:space="preserve"> needs resolve, the more drawn to extreme positions for relief. Political polarization feeds on our increasing volume of unresolved needs. You as their counselor can provide a meaningful alternative to the disappointment of divisive politics.</t>
  </si>
  <si>
    <t>Instead of overgeneralizing by insisting we must react politically, you encourage your client to empathize with the other side. Ask your client how it impacts what they need when the other side insists we must the opposite of their own needs. You remain present for their painful reaction. You focus their attention to specific needs. You ask them if they still think this is more important than the affected needs of those on the other side.</t>
  </si>
  <si>
    <t xml:space="preserve">When you see they are ready to focus more on resolving affected needs, you encourage them to see the other side's need for </t>
  </si>
  <si>
    <t xml:space="preserve"> is no more or less important than your need for </t>
  </si>
  <si>
    <t xml:space="preserve">, does your client still think that way? Or can your client humanize the other side with competing needs? Can your client now understand why those most desperate on the other side may think of your client as complicit with other </t>
  </si>
  <si>
    <t xml:space="preserve">? Once your client can envision receiving more respect from the other side for their </t>
  </si>
  <si>
    <t>If your client ever thought of the other side as all wrongheaded, does your client still think that way? Or can your client humanize the other side with competing needs? Can your client now understand why those most desperate on the other side may think of your client as complicit with other loathsome folks? Once your client can envision receiving more respect from the other side for their politicized needs, you can help free their focus on their impacted psychosocial needs. You can then segue to de-polarizing.</t>
  </si>
  <si>
    <t>. This need for psychosocial balance fuels political tension.</t>
  </si>
  <si>
    <t xml:space="preserve">Situations beyond their personal control dictates these needs. Politics give expression to these impacts, with the support of those similar affected. Because we often blindly trust politics to ease such needs. As your client focuses on their more visible need </t>
  </si>
  <si>
    <t>Nature pulls us to balance our self-needs and social-needs. Your client experiences intense emotions to compel them to resolve their affected psychosocial needs. These needs typically compel them to guard their more resolved psychsocial needs, while often spurring them to generalize how to relieve their less resolved psychosocial needs. This need for psychosocial balance fuels political tension.</t>
  </si>
  <si>
    <t xml:space="preserve">. Your clients psychosocial orientation compels them to prioritize the </t>
  </si>
  <si>
    <t>natural correction</t>
  </si>
  <si>
    <t>government regulations</t>
  </si>
  <si>
    <t>government protection</t>
  </si>
  <si>
    <t>government led</t>
  </si>
  <si>
    <t>private insurance</t>
  </si>
  <si>
    <t>centralized healthcare</t>
  </si>
  <si>
    <t>improvement</t>
  </si>
  <si>
    <t>supporting POC</t>
  </si>
  <si>
    <t>supporting police</t>
  </si>
  <si>
    <t>media bias</t>
  </si>
  <si>
    <t>underappreciated officers</t>
  </si>
  <si>
    <t>risking death</t>
  </si>
  <si>
    <t>risking economy</t>
  </si>
  <si>
    <t xml:space="preserve"> politics pits </t>
  </si>
  <si>
    <t>voluntary protections</t>
  </si>
  <si>
    <t>economic liberty</t>
  </si>
  <si>
    <t>public speech</t>
  </si>
  <si>
    <t>PUBLIC SPEECH</t>
  </si>
  <si>
    <t>Public speech</t>
  </si>
  <si>
    <t>hate speech</t>
  </si>
  <si>
    <t>Hate speech</t>
  </si>
  <si>
    <t>, there would be no working society. This division is more of a structural problem, beyond the scope of traditional psychotherapy.</t>
  </si>
  <si>
    <t xml:space="preserve">It is an overgeneralization to expect society to officially side with one priority over the other. These competing needs emerge as an arbitrary artifact of culture. If society always sided with the needs of </t>
  </si>
  <si>
    <t>the uninsured</t>
  </si>
  <si>
    <t>habitat loss</t>
  </si>
  <si>
    <t>climate catastrophe</t>
  </si>
  <si>
    <t>Climate catastrophe</t>
  </si>
  <si>
    <t xml:space="preserve">. Those on the other political side directly or vicariously experience a prioritizing need </t>
  </si>
  <si>
    <t>resist exaggerating risk</t>
  </si>
  <si>
    <t>help all immigrants</t>
  </si>
  <si>
    <t>U.S. citizens</t>
  </si>
  <si>
    <t>let in murderers</t>
  </si>
  <si>
    <t>let in criminal gangs</t>
  </si>
  <si>
    <t xml:space="preserve">. Such catastrophizing may ease some pain on each side. Rational thinking must take a back seat to the persisting pain of your client's publicly affected needs.
</t>
  </si>
  <si>
    <t xml:space="preserve"> and may even </t>
  </si>
  <si>
    <t>to keep areas crime-free</t>
  </si>
  <si>
    <t>spur wrongful convictions</t>
  </si>
  <si>
    <t>punish criminals</t>
  </si>
  <si>
    <t>reduce all violence</t>
  </si>
  <si>
    <t>coddle criminals</t>
  </si>
  <si>
    <t>target poor POC</t>
  </si>
  <si>
    <t>enable violence</t>
  </si>
  <si>
    <t>Antifa</t>
  </si>
  <si>
    <t>Proud Boys</t>
  </si>
  <si>
    <t>BLM</t>
  </si>
  <si>
    <t>provide high quality healthcare to all for free</t>
  </si>
  <si>
    <t>force loss of care</t>
  </si>
  <si>
    <t>remove preexisting conditions</t>
  </si>
  <si>
    <t>deference to law</t>
  </si>
  <si>
    <t>would tax us to death</t>
  </si>
  <si>
    <t xml:space="preserve">. Your client may get defensive when opponents claim </t>
  </si>
  <si>
    <t>deny climate impact</t>
  </si>
  <si>
    <t>risk habitat loss</t>
  </si>
  <si>
    <t>strangle the economy</t>
  </si>
  <si>
    <t>downplay mass shootings</t>
  </si>
  <si>
    <t>be defenseless to shooters</t>
  </si>
  <si>
    <t>would confiscate all guns</t>
  </si>
  <si>
    <t>commit infanticide</t>
  </si>
  <si>
    <t>murder children</t>
  </si>
  <si>
    <t>close clinics</t>
  </si>
  <si>
    <t>force births from rape</t>
  </si>
  <si>
    <t>let the poor suffer</t>
  </si>
  <si>
    <t>socialize healthcare</t>
  </si>
  <si>
    <t>increase inequality</t>
  </si>
  <si>
    <t>curb property rights</t>
  </si>
  <si>
    <t>revive overt racism</t>
  </si>
  <si>
    <t>feed structural racism</t>
  </si>
  <si>
    <t>Sexual harrass</t>
  </si>
  <si>
    <t>see racism everywhere</t>
  </si>
  <si>
    <t>deny due process</t>
  </si>
  <si>
    <t>excuse lethal force</t>
  </si>
  <si>
    <t>traumatize POC</t>
  </si>
  <si>
    <t>unleash lawlessness</t>
  </si>
  <si>
    <t>would defund the police</t>
  </si>
  <si>
    <t>intimidate POC voters</t>
  </si>
  <si>
    <t>exaggerate voter suppression</t>
  </si>
  <si>
    <t>rig elections</t>
  </si>
  <si>
    <t>exaggerate voter fraud</t>
  </si>
  <si>
    <t>ignore safety</t>
  </si>
  <si>
    <t>risk other's death</t>
  </si>
  <si>
    <t>force business failures</t>
  </si>
  <si>
    <t>use hate speech</t>
  </si>
  <si>
    <t>deplatform offensive speech</t>
  </si>
  <si>
    <t>enable cancel culture</t>
  </si>
  <si>
    <t>equate speech with money</t>
  </si>
  <si>
    <t>overregulates our lives</t>
  </si>
  <si>
    <t>trigger more shootings</t>
  </si>
  <si>
    <t>exploit the poor</t>
  </si>
  <si>
    <t>smear the biased as bigots</t>
  </si>
  <si>
    <t>seek to shut down all</t>
  </si>
  <si>
    <t>Identity politics</t>
  </si>
  <si>
    <t>LGBT+</t>
  </si>
  <si>
    <t>state surveillance</t>
  </si>
  <si>
    <t>terrorism</t>
  </si>
  <si>
    <t>student loans</t>
  </si>
  <si>
    <t>religious freedom</t>
  </si>
  <si>
    <t>net neutrality</t>
  </si>
  <si>
    <t>big tech</t>
  </si>
  <si>
    <t>minimum wage</t>
  </si>
  <si>
    <t>energy [fracking]</t>
  </si>
  <si>
    <t>drug policy</t>
  </si>
  <si>
    <t xml:space="preserve">Divisive politics lets you judge the other side by its most exaggerated generalizations. Then it upholds your side by casting its most exaggerated generalizations as mere aberration. Divisive politics tempts your client to view those arguing to </t>
  </si>
  <si>
    <t>domestic terror</t>
  </si>
  <si>
    <t>identitarians</t>
  </si>
  <si>
    <t xml:space="preserve">Any attachment your client has to political generalizations is likely fueled by pain of unresolved needs. Instead of challenging your client's generalizing, invite them to get a little more specific. If they politically seek to </t>
  </si>
  <si>
    <t>bring back the death penalty</t>
  </si>
  <si>
    <t>neediness</t>
  </si>
  <si>
    <t>neglect</t>
  </si>
  <si>
    <t>economic policy</t>
  </si>
  <si>
    <t>. You understand but curb their generalized reactions.</t>
  </si>
  <si>
    <t>deplatform speakers</t>
  </si>
  <si>
    <t>assert 1st Amend rights</t>
  </si>
  <si>
    <t>demand voter ID registration</t>
  </si>
  <si>
    <t>assert 2nd Amend rights</t>
  </si>
  <si>
    <t>save healthcare choices</t>
  </si>
  <si>
    <t>ease the healthcare system</t>
  </si>
  <si>
    <t xml:space="preserve"> over attempts to </t>
  </si>
  <si>
    <t>remove a few bad apples</t>
  </si>
  <si>
    <t>celebrate ending overt racism</t>
  </si>
  <si>
    <t xml:space="preserve">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t>
  </si>
  <si>
    <t xml:space="preserve">, it may ease their </t>
  </si>
  <si>
    <t xml:space="preserve">Popular politics entices you and your client to stay shallow and alienated. You both are given a generalization to agree or disagree, with little room for nuance. If your client agrees it is good to </t>
  </si>
  <si>
    <t xml:space="preserve">Harmony Politics encourages you to go deep and connect with your client's and anyone's political views. Instead of arguing a stance for </t>
  </si>
  <si>
    <t>individual racism</t>
  </si>
  <si>
    <t>system wide racism</t>
  </si>
  <si>
    <t>liberal voters</t>
  </si>
  <si>
    <t>conservative voters</t>
  </si>
  <si>
    <t>They can empathize with an opposing priority of needs, in the name of love.</t>
  </si>
  <si>
    <t xml:space="preserve">. After seeing why each side prioritizes their particular needs, your client can appreciate politics is relative to needs. Then they can go deep and connect with political others, just as you went deep and connected with them. </t>
  </si>
  <si>
    <t>removed speakers</t>
  </si>
  <si>
    <t>crime victims</t>
  </si>
  <si>
    <t>business owners</t>
  </si>
  <si>
    <t>blacklisted "racists"</t>
  </si>
  <si>
    <t>failed small businesses</t>
  </si>
  <si>
    <t xml:space="preserve">, or similar stance, you encourage your client to empathize with </t>
  </si>
  <si>
    <t>mock safe space users as snowflakes</t>
  </si>
  <si>
    <t>retraumatized POC</t>
  </si>
  <si>
    <t>"snowflakes"</t>
  </si>
  <si>
    <t>"illegals"</t>
  </si>
  <si>
    <t>"climate alarmists"</t>
  </si>
  <si>
    <t>"gun confiscators"</t>
  </si>
  <si>
    <t>"baby killers"</t>
  </si>
  <si>
    <t>"socialists"</t>
  </si>
  <si>
    <t>"criminals"</t>
  </si>
  <si>
    <t>"capitalists"</t>
  </si>
  <si>
    <t>"reverse racists"</t>
  </si>
  <si>
    <t>"cop killers"</t>
  </si>
  <si>
    <t>"anti-democratic"</t>
  </si>
  <si>
    <t>"paternalistic"</t>
  </si>
  <si>
    <t>"xenophobes"</t>
  </si>
  <si>
    <t>"climate deniers"</t>
  </si>
  <si>
    <t>"killers"</t>
  </si>
  <si>
    <t>"misoginists"</t>
  </si>
  <si>
    <t>"illness profiteers"</t>
  </si>
  <si>
    <t>"racists"</t>
  </si>
  <si>
    <t>"killer cops"</t>
  </si>
  <si>
    <t>"reckless"</t>
  </si>
  <si>
    <t>"bigots"</t>
  </si>
  <si>
    <t>defensiveness</t>
  </si>
  <si>
    <t>feeling intruded</t>
  </si>
  <si>
    <t>feeling misunderstood</t>
  </si>
  <si>
    <t xml:space="preserve">Nature pulls us to balance our self-needs and social-needs. Your client may experience intense emotions like </t>
  </si>
  <si>
    <r>
      <rPr>
        <b/>
        <sz val="24"/>
        <color rgb="FF00823C"/>
        <rFont val="Tahoma"/>
        <family val="2"/>
      </rPr>
      <t>Value</t>
    </r>
    <r>
      <rPr>
        <b/>
        <sz val="24"/>
        <color theme="9" tint="-0.499984740745262"/>
        <rFont val="Tahoma"/>
        <family val="2"/>
      </rPr>
      <t xml:space="preserve"> </t>
    </r>
    <r>
      <rPr>
        <b/>
        <sz val="24"/>
        <color rgb="FF7030A0"/>
        <rFont val="Tahoma"/>
        <family val="2"/>
      </rPr>
      <t>Relating</t>
    </r>
    <r>
      <rPr>
        <b/>
        <sz val="22"/>
        <color rgb="FF004B1E"/>
        <rFont val="Tahoma"/>
        <family val="2"/>
      </rPr>
      <t>'s other free tools</t>
    </r>
  </si>
  <si>
    <r>
      <rPr>
        <b/>
        <sz val="13"/>
        <color theme="9" tint="-0.249977111117893"/>
        <rFont val="Tahoma"/>
        <family val="2"/>
      </rPr>
      <t>Innocence</t>
    </r>
    <r>
      <rPr>
        <b/>
        <sz val="13"/>
        <color theme="1"/>
        <rFont val="Tahoma"/>
        <family val="2"/>
      </rPr>
      <t xml:space="preserve"> </t>
    </r>
    <r>
      <rPr>
        <b/>
        <sz val="13"/>
        <color rgb="FF7030A0"/>
        <rFont val="Tahoma"/>
        <family val="2"/>
      </rPr>
      <t>Validity</t>
    </r>
    <r>
      <rPr>
        <sz val="10"/>
        <color theme="1"/>
        <rFont val="Cambria"/>
        <family val="1"/>
      </rPr>
      <t xml:space="preserve">
For the many wrongly convicted not yet exonerated. Enter case details, and share its calculated estimate of innocence with others.</t>
    </r>
  </si>
  <si>
    <r>
      <rPr>
        <vertAlign val="superscript"/>
        <sz val="9"/>
        <color theme="1"/>
        <rFont val="Arial Narrow"/>
        <family val="2"/>
      </rPr>
      <t>1</t>
    </r>
    <r>
      <rPr>
        <sz val="9"/>
        <color theme="1"/>
        <rFont val="Arial Narrow"/>
        <family val="2"/>
      </rPr>
      <t>Pies, R. (2020). Culture Wars, COVID-19 and Countertransference. What America’s Cultural Rifts Might Mean for Psychiatry and Psychotherapy. https://pro.psychcentral.com/culture-wars-covid-19-and-countertransference. Accessed 2020-11-07.</t>
    </r>
  </si>
  <si>
    <r>
      <t xml:space="preserve">First, let go of the popular yet overgeneralized notion that we rationally choose our political beliefs. </t>
    </r>
    <r>
      <rPr>
        <sz val="12"/>
        <color rgb="FF0070C0"/>
        <rFont val="Cambria"/>
        <family val="1"/>
      </rPr>
      <t>Jonathan Haidt</t>
    </r>
    <r>
      <rPr>
        <vertAlign val="superscript"/>
        <sz val="12"/>
        <color rgb="FF0070C0"/>
        <rFont val="Cambria"/>
        <family val="1"/>
      </rPr>
      <t>2</t>
    </r>
    <r>
      <rPr>
        <sz val="12"/>
        <color theme="1"/>
        <rFont val="Cambria"/>
        <family val="1"/>
      </rPr>
      <t xml:space="preserve"> is one among many to debunk this popular view. The prioritizing needs come first. Political beliefs attach to give expression to these needs.
</t>
    </r>
  </si>
  <si>
    <r>
      <rPr>
        <vertAlign val="superscript"/>
        <sz val="9"/>
        <color theme="1"/>
        <rFont val="Arial Narrow"/>
        <family val="2"/>
      </rPr>
      <t>2</t>
    </r>
    <r>
      <rPr>
        <sz val="9"/>
        <color theme="1"/>
        <rFont val="Arial Narrow"/>
        <family val="2"/>
      </rPr>
      <t>Haidt, J. (2013). The righteous mind. Penguin Books.</t>
    </r>
  </si>
  <si>
    <r>
      <rPr>
        <vertAlign val="superscript"/>
        <sz val="9"/>
        <color theme="1"/>
        <rFont val="Arial Narrow"/>
        <family val="2"/>
      </rPr>
      <t>3</t>
    </r>
    <r>
      <rPr>
        <sz val="9"/>
        <color theme="1"/>
        <rFont val="Arial Narrow"/>
        <family val="2"/>
      </rPr>
      <t>HHS. (2013). Business Associate Contracts. https://www.hhs.gov/hipaa/for-professionals/covered-entities/sample-business-associate-agreement-provisions/index.html. Accessed 2020-11-08.</t>
    </r>
  </si>
  <si>
    <r>
      <t xml:space="preserve">Contents </t>
    </r>
    <r>
      <rPr>
        <sz val="14"/>
        <color theme="1" tint="0.499984740745262"/>
        <rFont val="Tahoma"/>
        <family val="2"/>
      </rPr>
      <t>-</t>
    </r>
    <r>
      <rPr>
        <sz val="11"/>
        <color theme="1" tint="0.499984740745262"/>
        <rFont val="Tahoma"/>
        <family val="2"/>
      </rPr>
      <t>click on the page title below or its page # to go to that page</t>
    </r>
  </si>
  <si>
    <t xml:space="preserve">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t>
  </si>
  <si>
    <t>One political side generalizes for relief of an unresolved psychosocial need, while guarding a more resolved psychosocial need. The other political side generalizes for relief of a psychosocial need, while guarding a more resolved psychosocial need. Wide-oriented liberalism generalizes how to guard their more resolved self-needs, like authenticity, and generalizes how to relieve the pain of their less resolved social-needs, like socital inclusion. Deep-oriented conservatism generalizes how to guard their more resolved social-needs, like group cohesion, and generalizes how to relieve the pain of their less resolved self-needs, like independence.</t>
  </si>
  <si>
    <t xml:space="preserve">Deeper and more specifically, political contests reveal long standing obstacles to resolving needs. As public policy favors the prioritized need of one political side, it often limits the other side's capacity to fully resolve their priority of needs. The more one side can address their needs, their underling psychosocial needs resolve and ease their pain. The less the other side can address their needs, their underlying psychosocial needs remain painfully bare. Democracy then sinks into a passive-aggressive struggle to take turns easing the pain of each other's public facing needs. </t>
  </si>
  <si>
    <t>It is an overgeneralization to expect society to officially side with one priority over the other. These competing needs emerge as an arbitrary artifact of culture. If humanity always sided with the needs of the wide-oriented against the needs of deep-oriented, or with the needs of the deep-oriented against the needs of wide-oriented, there would be no humanity. This division is more of a structural problem, beyond the scope of traditional psychotherapy.</t>
  </si>
  <si>
    <r>
      <t xml:space="preserve">Therapeutic </t>
    </r>
    <r>
      <rPr>
        <b/>
        <sz val="22"/>
        <color rgb="FF009646"/>
        <rFont val="Tahoma"/>
        <family val="2"/>
      </rPr>
      <t>Harmony</t>
    </r>
    <r>
      <rPr>
        <b/>
        <sz val="22"/>
        <color rgb="FF00501E"/>
        <rFont val="Tahoma"/>
        <family val="2"/>
      </rPr>
      <t xml:space="preserve"> </t>
    </r>
    <r>
      <rPr>
        <b/>
        <sz val="22"/>
        <color rgb="FF7030A0"/>
        <rFont val="Tahoma"/>
        <family val="2"/>
      </rPr>
      <t>Politics</t>
    </r>
  </si>
  <si>
    <r>
      <rPr>
        <sz val="12"/>
        <color rgb="FF0070C0"/>
        <rFont val="Cambria"/>
        <family val="1"/>
      </rPr>
      <t>Anankelogy</t>
    </r>
    <r>
      <rPr>
        <sz val="12"/>
        <color theme="1"/>
        <rFont val="Cambria"/>
        <family val="1"/>
      </rPr>
      <t>, the new social science for understanding needs, finds we have a set way for relating to others, and toward other things. Simplified here, you either relate to other as generally as possible, or you relate to other's specifics. Politics entices you, and your client, to cling to comforting generalizations. Politics builds on coalitions that must avoid potentially divisive specifics. Politics routinely overlooks the specifics necessary to resolve needs, which would remove the pain.</t>
    </r>
  </si>
  <si>
    <r>
      <t xml:space="preserve">Therapeutic </t>
    </r>
    <r>
      <rPr>
        <b/>
        <sz val="22"/>
        <color rgb="FF00823C"/>
        <rFont val="Tahoma"/>
        <family val="2"/>
      </rPr>
      <t>Harmony</t>
    </r>
    <r>
      <rPr>
        <b/>
        <sz val="22"/>
        <color rgb="FF00501E"/>
        <rFont val="Tahoma"/>
        <family val="2"/>
      </rPr>
      <t xml:space="preserve"> </t>
    </r>
    <r>
      <rPr>
        <b/>
        <sz val="22"/>
        <color rgb="FF7030A0"/>
        <rFont val="Tahoma"/>
        <family val="2"/>
      </rPr>
      <t>Politics</t>
    </r>
  </si>
  <si>
    <r>
      <t xml:space="preserve">This tool covers just enough to get you started on your own. </t>
    </r>
    <r>
      <rPr>
        <sz val="12"/>
        <color rgb="FF0070C0"/>
        <rFont val="Tahoma"/>
        <family val="2"/>
      </rPr>
      <t>Contact me</t>
    </r>
    <r>
      <rPr>
        <sz val="12"/>
        <rFont val="Tahoma"/>
        <family val="2"/>
      </rPr>
      <t xml:space="preserve"> for support.</t>
    </r>
  </si>
  <si>
    <r>
      <t xml:space="preserve">Competitive </t>
    </r>
    <r>
      <rPr>
        <b/>
        <sz val="22"/>
        <color rgb="FF7030A0"/>
        <rFont val="Tahoma"/>
        <family val="2"/>
      </rPr>
      <t>responsiveness</t>
    </r>
  </si>
  <si>
    <t>Brand yourself as a counselor responsive to the needs on both sides.</t>
  </si>
  <si>
    <r>
      <t xml:space="preserve">Wellness is psychosocial. Your self-needs </t>
    </r>
    <r>
      <rPr>
        <i/>
        <sz val="10.5"/>
        <color theme="1"/>
        <rFont val="Tahoma"/>
        <family val="2"/>
      </rPr>
      <t>and</t>
    </r>
    <r>
      <rPr>
        <sz val="10.5"/>
        <color theme="1"/>
        <rFont val="Tahoma"/>
        <family val="2"/>
      </rPr>
      <t xml:space="preserve"> social-needs must resolve for you to fully function.</t>
    </r>
  </si>
  <si>
    <r>
      <t xml:space="preserve">Politics is not as rationally based as widely assumed. But expresses your </t>
    </r>
    <r>
      <rPr>
        <i/>
        <sz val="10.5"/>
        <color theme="1"/>
        <rFont val="Tahoma"/>
        <family val="2"/>
      </rPr>
      <t>psychosocial orientation</t>
    </r>
    <r>
      <rPr>
        <sz val="10.5"/>
        <color theme="1"/>
        <rFont val="Tahoma"/>
        <family val="2"/>
      </rPr>
      <t>.</t>
    </r>
  </si>
  <si>
    <r>
      <t xml:space="preserve">The </t>
    </r>
    <r>
      <rPr>
        <b/>
        <sz val="11"/>
        <color theme="1"/>
        <rFont val="Cambria"/>
        <family val="1"/>
      </rPr>
      <t>impact parity model</t>
    </r>
    <r>
      <rPr>
        <sz val="11"/>
        <color theme="1"/>
        <rFont val="Cambria"/>
        <family val="1"/>
      </rPr>
      <t xml:space="preserve">, or IPM, empowers your client to address power relations. The IPM identifies the powerholder in that relation as the </t>
    </r>
    <r>
      <rPr>
        <i/>
        <sz val="11"/>
        <color theme="1"/>
        <rFont val="Cambria"/>
        <family val="1"/>
      </rPr>
      <t>ascribed impactor</t>
    </r>
    <r>
      <rPr>
        <sz val="11"/>
        <color theme="1"/>
        <rFont val="Cambria"/>
        <family val="1"/>
      </rPr>
      <t xml:space="preserve">, or </t>
    </r>
    <r>
      <rPr>
        <b/>
        <sz val="11"/>
        <color theme="1"/>
        <rFont val="Cambria"/>
        <family val="1"/>
      </rPr>
      <t>AI</t>
    </r>
    <r>
      <rPr>
        <sz val="11"/>
        <color theme="1"/>
        <rFont val="Cambria"/>
        <family val="1"/>
      </rPr>
      <t xml:space="preserve">. It identifies your relatively less powerful client as the </t>
    </r>
    <r>
      <rPr>
        <i/>
        <sz val="11"/>
        <color theme="1"/>
        <rFont val="Cambria"/>
        <family val="1"/>
      </rPr>
      <t>reporting impactee</t>
    </r>
    <r>
      <rPr>
        <sz val="11"/>
        <color theme="1"/>
        <rFont val="Cambria"/>
        <family val="1"/>
      </rPr>
      <t xml:space="preserve">, or </t>
    </r>
    <r>
      <rPr>
        <b/>
        <sz val="11"/>
        <color theme="1"/>
        <rFont val="Cambria"/>
        <family val="1"/>
      </rPr>
      <t>RI</t>
    </r>
    <r>
      <rPr>
        <sz val="11"/>
        <color theme="1"/>
        <rFont val="Cambria"/>
        <family val="1"/>
      </rPr>
      <t xml:space="preserve">. 
Your client receives support to </t>
    </r>
    <r>
      <rPr>
        <i/>
        <sz val="11"/>
        <color theme="1"/>
        <rFont val="Cambria"/>
        <family val="1"/>
      </rPr>
      <t>speak truth to power</t>
    </r>
    <r>
      <rPr>
        <sz val="11"/>
        <color theme="1"/>
        <rFont val="Cambria"/>
        <family val="1"/>
      </rPr>
      <t xml:space="preserve"> (</t>
    </r>
    <r>
      <rPr>
        <b/>
        <sz val="11"/>
        <color theme="1"/>
        <rFont val="Cambria"/>
        <family val="1"/>
      </rPr>
      <t>STTP</t>
    </r>
    <r>
      <rPr>
        <sz val="11"/>
        <color theme="1"/>
        <rFont val="Cambria"/>
        <family val="1"/>
      </rPr>
      <t xml:space="preserve">), including to you. The IPM incentivizes the AI to </t>
    </r>
    <r>
      <rPr>
        <i/>
        <sz val="11"/>
        <color theme="1"/>
        <rFont val="Cambria"/>
        <family val="1"/>
      </rPr>
      <t>listen to those impacted</t>
    </r>
    <r>
      <rPr>
        <sz val="11"/>
        <color theme="1"/>
        <rFont val="Cambria"/>
        <family val="1"/>
      </rPr>
      <t xml:space="preserve"> (</t>
    </r>
    <r>
      <rPr>
        <b/>
        <sz val="11"/>
        <color theme="1"/>
        <rFont val="Cambria"/>
        <family val="1"/>
      </rPr>
      <t>LTTI</t>
    </r>
    <r>
      <rPr>
        <sz val="11"/>
        <color theme="1"/>
        <rFont val="Cambria"/>
        <family val="1"/>
      </rPr>
      <t xml:space="preserve">). The IPM inspires those in power to invest in those they impact with their power. </t>
    </r>
  </si>
  <si>
    <t>When you see they are ready to focus more on resolving affected needs, you encourage them to see the other side's affected needs are no more or less important than your politically affected needs. The more your client can empathize with the other side's priority of needs, ask them if this can make it easier for the other side to empathize with their priority of needs.</t>
  </si>
  <si>
    <r>
      <rPr>
        <b/>
        <sz val="12"/>
        <color theme="1"/>
        <rFont val="Cambria"/>
        <family val="1"/>
      </rPr>
      <t>Ready to go beyond conventional counseling?</t>
    </r>
    <r>
      <rPr>
        <sz val="12"/>
        <color theme="1"/>
        <rFont val="Cambria"/>
        <family val="1"/>
      </rPr>
      <t xml:space="preserve"> Use this tool to recover any lost rapport with your client over political differences. Contact me at </t>
    </r>
    <r>
      <rPr>
        <sz val="10"/>
        <color rgb="FF009646"/>
        <rFont val="Arial Black"/>
        <family val="2"/>
      </rPr>
      <t>Value</t>
    </r>
    <r>
      <rPr>
        <sz val="10"/>
        <color theme="1"/>
        <rFont val="Arial Black"/>
        <family val="2"/>
      </rPr>
      <t xml:space="preserve"> </t>
    </r>
    <r>
      <rPr>
        <sz val="10"/>
        <color rgb="FF7030A0"/>
        <rFont val="Arial Black"/>
        <family val="2"/>
      </rPr>
      <t>Relating</t>
    </r>
    <r>
      <rPr>
        <sz val="12"/>
        <color theme="1"/>
        <rFont val="Cambria"/>
        <family val="1"/>
      </rPr>
      <t xml:space="preserve"> to fit this tool to your particular counseling needs. Does your client need advocacy to address their public facing needs? I look forward to introducing you to </t>
    </r>
    <r>
      <rPr>
        <b/>
        <sz val="12"/>
        <color theme="1"/>
        <rFont val="Cambria"/>
        <family val="1"/>
      </rPr>
      <t>psychosociotherapy</t>
    </r>
    <r>
      <rPr>
        <sz val="12"/>
        <color theme="1"/>
        <rFont val="Cambria"/>
        <family val="1"/>
      </rPr>
      <t>, to empower your client to speak truth to political power, wherever they must confront it.</t>
    </r>
  </si>
  <si>
    <r>
      <t xml:space="preserve">This tool helps you address psychosocial needs at the personal level with traditional psychotherapy. It can only go so far. Discover how </t>
    </r>
    <r>
      <rPr>
        <b/>
        <sz val="11.5"/>
        <color theme="1"/>
        <rFont val="Tahoma"/>
        <family val="2"/>
      </rPr>
      <t>psychosociotherapy</t>
    </r>
    <r>
      <rPr>
        <sz val="11.5"/>
        <color theme="1"/>
        <rFont val="Tahoma"/>
        <family val="2"/>
      </rPr>
      <t xml:space="preserve"> can address your client's psychosocial needs on both a personal and interpersonal or social level. Instead of helping your client adjust to harsh political realities, you empower your client to adjust their relationships with politically powerful others, in a mutually beneficial conciliatory way.</t>
    </r>
  </si>
  <si>
    <r>
      <t xml:space="preserve">I invite you to help me develop a fresh online model for therapy. Instead of focusing on changes within your client, </t>
    </r>
    <r>
      <rPr>
        <i/>
        <sz val="11"/>
        <color theme="1"/>
        <rFont val="Cambria"/>
        <family val="1"/>
      </rPr>
      <t>psychosociotherapy</t>
    </r>
    <r>
      <rPr>
        <sz val="11"/>
        <color theme="1"/>
        <rFont val="Cambria"/>
        <family val="1"/>
      </rPr>
      <t xml:space="preserve"> supports your client to change their relations with powerful others. You work with me to give them a solid starting point. I invite you to empower your client to speak their truth to political power, using what I call the </t>
    </r>
    <r>
      <rPr>
        <i/>
        <sz val="11"/>
        <color theme="1"/>
        <rFont val="Cambria"/>
        <family val="1"/>
      </rPr>
      <t>impact parity model</t>
    </r>
    <r>
      <rPr>
        <sz val="11"/>
        <color theme="1"/>
        <rFont val="Cambria"/>
        <family val="1"/>
      </rPr>
      <t>.</t>
    </r>
  </si>
  <si>
    <r>
      <rPr>
        <b/>
        <sz val="12"/>
        <color theme="1"/>
        <rFont val="Cambria"/>
        <family val="1"/>
      </rPr>
      <t>Revolutionary revenue model</t>
    </r>
    <r>
      <rPr>
        <sz val="11"/>
        <color theme="1"/>
        <rFont val="Cambria"/>
        <family val="1"/>
      </rPr>
      <t xml:space="preserve">
Psychosociotherapy does not rely on insurance. Nor is it an out-of-pocket personal health expense. It creates value for both sides in a power relation. The IPM incentivizes the AI, who typically has greater resources and the most to gain from this model, to invest in your RI client. They receive valuable data for better serving others like the RI. Just as you are learning to attract and sustain RI clients. AI's must compete with each other to be most responsive to clients' underserved needs. </t>
    </r>
  </si>
  <si>
    <r>
      <t xml:space="preserve">Political leaders lead poorly when pitting us against each other. Their legitimacy sinks when failing to integrate the needs of both sides. They need your politically passionate client to lead a better way. Harmony Politics can empower you and your client to </t>
    </r>
    <r>
      <rPr>
        <i/>
        <sz val="12"/>
        <color theme="1"/>
        <rFont val="Cambria"/>
        <family val="1"/>
      </rPr>
      <t>lead</t>
    </r>
    <r>
      <rPr>
        <sz val="12"/>
        <color theme="1"/>
        <rFont val="Cambria"/>
        <family val="1"/>
      </rPr>
      <t xml:space="preserve"> these leaders. You and your client can replace petty divisive politics with the more compelling competition of who loves the most, by being more responsive to politicized needs.</t>
    </r>
  </si>
  <si>
    <r>
      <t xml:space="preserve">Your client could become disillusioned with therapy itself. They may see it as </t>
    </r>
    <r>
      <rPr>
        <sz val="12"/>
        <color rgb="FF0070C0"/>
        <rFont val="Cambria"/>
        <family val="1"/>
      </rPr>
      <t>hopelessly partisan.</t>
    </r>
    <r>
      <rPr>
        <vertAlign val="superscript"/>
        <sz val="12"/>
        <color rgb="FF0070C0"/>
        <rFont val="Cambria"/>
        <family val="1"/>
      </rPr>
      <t>1</t>
    </r>
    <r>
      <rPr>
        <sz val="12"/>
        <color theme="1"/>
        <rFont val="Cambria"/>
        <family val="1"/>
      </rPr>
      <t xml:space="preserve"> They likely will warn others not to see you. You then risk your professional reputation. And the reputation of the profession.</t>
    </r>
  </si>
  <si>
    <t>Getting started</t>
  </si>
  <si>
    <t>Invitations</t>
  </si>
  <si>
    <t>Wk 01</t>
  </si>
  <si>
    <t>Wk 02</t>
  </si>
  <si>
    <t>Wk 03</t>
  </si>
  <si>
    <t>Wk 04</t>
  </si>
  <si>
    <t>Wk 05</t>
  </si>
  <si>
    <t>Wk 06</t>
  </si>
  <si>
    <t>Wk 07</t>
  </si>
  <si>
    <t>Wk 08</t>
  </si>
  <si>
    <t>Wk 09</t>
  </si>
  <si>
    <t>Wk 10</t>
  </si>
  <si>
    <t>Wk 11</t>
  </si>
  <si>
    <t>Wk 12</t>
  </si>
  <si>
    <t>Wk 13</t>
  </si>
  <si>
    <t>Wk 14</t>
  </si>
  <si>
    <t>Wk 15</t>
  </si>
  <si>
    <t>Wk 16</t>
  </si>
  <si>
    <t>Wk 17</t>
  </si>
  <si>
    <t>Wk 18</t>
  </si>
  <si>
    <t>Wk 19</t>
  </si>
  <si>
    <t>Wk 20</t>
  </si>
  <si>
    <t>Wk 21</t>
  </si>
  <si>
    <t>Wk 22</t>
  </si>
  <si>
    <t>Wk 23</t>
  </si>
  <si>
    <t>Wk 24</t>
  </si>
  <si>
    <t>Wk 25</t>
  </si>
  <si>
    <t>Wk 26</t>
  </si>
  <si>
    <t>Wk 27</t>
  </si>
  <si>
    <t>Overview with revenue potential</t>
  </si>
  <si>
    <t>Political proactivism identifies and addresses the inflexible needs on both sides of a political issue.</t>
  </si>
  <si>
    <t>With our help, you attract social and financial support for your passionate cause to resolve needs.</t>
  </si>
  <si>
    <r>
      <t xml:space="preserve">The </t>
    </r>
    <r>
      <rPr>
        <b/>
        <sz val="12"/>
        <color theme="1"/>
        <rFont val="Cambria"/>
        <family val="1"/>
      </rPr>
      <t>Reporting Impactee</t>
    </r>
    <r>
      <rPr>
        <sz val="12"/>
        <color theme="1"/>
        <rFont val="Cambria"/>
        <family val="1"/>
      </rPr>
      <t xml:space="preserve"> is impacted by the power relation more then impacting it.</t>
    </r>
  </si>
  <si>
    <r>
      <t xml:space="preserve">The </t>
    </r>
    <r>
      <rPr>
        <b/>
        <sz val="12"/>
        <color theme="1"/>
        <rFont val="Cambria"/>
        <family val="1"/>
      </rPr>
      <t>Ascribed Impactor</t>
    </r>
    <r>
      <rPr>
        <sz val="12"/>
        <color theme="1"/>
        <rFont val="Cambria"/>
        <family val="1"/>
      </rPr>
      <t xml:space="preserve"> impacts the power relation more than being impacted by it.</t>
    </r>
  </si>
  <si>
    <t>counselor</t>
  </si>
  <si>
    <t>journalist</t>
  </si>
  <si>
    <t>public servant</t>
  </si>
  <si>
    <t>EXAMPLE</t>
  </si>
  <si>
    <t xml:space="preserve">Your tone is engaging. </t>
  </si>
  <si>
    <t xml:space="preserve">Your tone is now declarative. They had their chance to get on board. </t>
  </si>
  <si>
    <t>Your tone is celebratory with all who joined you.</t>
  </si>
  <si>
    <r>
      <rPr>
        <b/>
        <sz val="22"/>
        <color rgb="FF1E5A28"/>
        <rFont val="Tahoma"/>
        <family val="2"/>
      </rPr>
      <t>Welcome to</t>
    </r>
    <r>
      <rPr>
        <b/>
        <sz val="22"/>
        <color rgb="FF7030A0"/>
        <rFont val="Tahoma"/>
        <family val="2"/>
      </rPr>
      <t xml:space="preserve"> </t>
    </r>
    <r>
      <rPr>
        <b/>
        <sz val="22"/>
        <color rgb="FF00823C"/>
        <rFont val="Tahoma"/>
        <family val="2"/>
      </rPr>
      <t>proactive</t>
    </r>
    <r>
      <rPr>
        <b/>
        <sz val="22"/>
        <color rgb="FF7030A0"/>
        <rFont val="Tahoma"/>
        <family val="2"/>
      </rPr>
      <t xml:space="preserve"> advocacy</t>
    </r>
  </si>
  <si>
    <t>Your unexpected empathy and love for each other</t>
  </si>
  <si>
    <t>Your expected distrust and loathing of each other</t>
  </si>
  <si>
    <t xml:space="preserve">A need-responsive </t>
  </si>
  <si>
    <t>politics</t>
  </si>
  <si>
    <t>Needs come first</t>
  </si>
  <si>
    <t>Others need differently than you</t>
  </si>
  <si>
    <t>Stuck on your differences</t>
  </si>
  <si>
    <t>Slipping into needless battle</t>
  </si>
  <si>
    <t>Liberated by love</t>
  </si>
  <si>
    <t xml:space="preserve">When it comes to </t>
  </si>
  <si>
    <t xml:space="preserve">, you need to focus more on </t>
  </si>
  <si>
    <t xml:space="preserve"> for </t>
  </si>
  <si>
    <t xml:space="preserve">. Your situation in life proritizes your need for </t>
  </si>
  <si>
    <t>. Their reasoning can mount compelling arguments to support their side. They must, when their needs depend on it. Much like yours.</t>
  </si>
  <si>
    <t xml:space="preserve">Others experience a strikingly different priority of needs. They need to focus more on </t>
  </si>
  <si>
    <t>. They tend to take</t>
  </si>
  <si>
    <t xml:space="preserve">. So you gravitate toward </t>
  </si>
  <si>
    <t xml:space="preserve">There is no good nor bad except for need. What appears bad for them seems bad to you. What seems good for them feels bad for you. The generalizing of divisive </t>
  </si>
  <si>
    <t>1. Void of moral leadership</t>
  </si>
  <si>
    <t>2. Exaggerating slips into extremes</t>
  </si>
  <si>
    <t>3. Erupting into hate</t>
  </si>
  <si>
    <t>4. Imagining the worse of each other</t>
  </si>
  <si>
    <t xml:space="preserve">Conventionally, the other side seems like a threat to your prioritized needs. The more you seek to </t>
  </si>
  <si>
    <t xml:space="preserve">, the more they seek to </t>
  </si>
  <si>
    <t xml:space="preserve">. You both must serve your different priority of </t>
  </si>
  <si>
    <t xml:space="preserve"> affected needs. Political generalizing arrives after the fact. If it wasn't for your diverging priority of </t>
  </si>
  <si>
    <t xml:space="preserve"> needs, you likely wouldn't care about </t>
  </si>
  <si>
    <t xml:space="preserve">In the absence of a bridge for mutual respect, each side entertains extreme </t>
  </si>
  <si>
    <t xml:space="preserve">. That easily provokes extreme elements on the other side. They insist we </t>
  </si>
  <si>
    <t xml:space="preserve"> to serve their prioritized </t>
  </si>
  <si>
    <t xml:space="preserve">. Their obnoxious voices likely denounce your side as full of </t>
  </si>
  <si>
    <t xml:space="preserve"> affected needs. Divisive politics fails you every time.</t>
  </si>
  <si>
    <t xml:space="preserve"> and even </t>
  </si>
  <si>
    <t>" and perhaps "</t>
  </si>
  <si>
    <t xml:space="preserve"> politics as a solution to the problem? Or can you see such divisive politics as the problem?</t>
  </si>
  <si>
    <t xml:space="preserve">Soon, loud voices on your side denounce the other side as a bunch of </t>
  </si>
  <si>
    <t>Argue</t>
  </si>
  <si>
    <t>Reject</t>
  </si>
  <si>
    <t>Demand</t>
  </si>
  <si>
    <t>Listen</t>
  </si>
  <si>
    <t>Affirm</t>
  </si>
  <si>
    <t>Offer</t>
  </si>
  <si>
    <t>I hear your need for safer neighborhoods. I don’t mean letting in criminal gangs who could harm your family, or mine.</t>
  </si>
  <si>
    <t>I affirm your need for secure boundaries around you.</t>
  </si>
  <si>
    <t>The more I respect your need for protective national borders, can I trust you to respect my need for fair entry for the most vulnerably disadvantaged?</t>
  </si>
  <si>
    <t>Keep families together!</t>
  </si>
  <si>
    <t>Abolish ICE!</t>
  </si>
  <si>
    <t>Remove barriers to those disadvantaged by our own neocolonial meddling.</t>
  </si>
  <si>
    <t>Keep criminal gangs out!</t>
  </si>
  <si>
    <t>Abolish DACA!</t>
  </si>
  <si>
    <t>Remove incentives for illegals to break our laws!</t>
  </si>
  <si>
    <t xml:space="preserve">Our divisive </t>
  </si>
  <si>
    <t xml:space="preserve">Our responsive </t>
  </si>
  <si>
    <t xml:space="preserve">Your need </t>
  </si>
  <si>
    <t xml:space="preserve"> can complement their need </t>
  </si>
  <si>
    <t xml:space="preserve">. Together, you both move beyond alienating exaggerations to connect with each other's specific </t>
  </si>
  <si>
    <t xml:space="preserve"> impacted needs. You replace arguing with listening. You replace rejecting each other's needs with affirming each other's </t>
  </si>
  <si>
    <t xml:space="preserve"> impacted needs. You replace demanding with offering what you can do for their needs, while suggesting what they can do for yours. All with empathy and love.</t>
  </si>
  <si>
    <t xml:space="preserve">Moral leadership inspires you to switch from claiming we must </t>
  </si>
  <si>
    <t xml:space="preserve"> to respecting the needs of </t>
  </si>
  <si>
    <t xml:space="preserve">. As you back away from defensive generalizing, you challenge the other side to switch from claiming we must all </t>
  </si>
  <si>
    <t>. Or they risk losing moral ground to you.</t>
  </si>
  <si>
    <t>We are already too late to avoid climate catastrophes, like more floods and hurricanes.</t>
  </si>
  <si>
    <t>Climate deniers must trust the scientific consensus on this.</t>
  </si>
  <si>
    <t>Force the worst culprits to cut greenhouse gas emissions immediately.</t>
  </si>
  <si>
    <t>Government lawyers and their regulations will likely make the problem worse.</t>
  </si>
  <si>
    <t>Climate alarmists must stop exaggerating the weather.</t>
  </si>
  <si>
    <t>Incentivize businesses to emit less gasses, without the nanny state regulations.</t>
  </si>
  <si>
    <t>I hear your fear of economic failure from environmental overregulation.</t>
  </si>
  <si>
    <t>I affirm your need to trust individuals more to respect our shared climate.</t>
  </si>
  <si>
    <t>The more I respect your need to trust market solutions over government regulations, can you respect my need to immediately reduce emissions from worst culprits?</t>
  </si>
  <si>
    <t>I hear your fear of mass homelessness from increasing storms and floods.</t>
  </si>
  <si>
    <t>I affirm your need to avoid avoidable weather disasters.</t>
  </si>
  <si>
    <t>The more I respect your need to immediately reduce emissions, can I count on you to respect my need for non-government solutions for the climate?</t>
  </si>
  <si>
    <t>I hear your need to give immigrants a new lease on life. I don’t mean excluding migrants who enter legally.</t>
  </si>
  <si>
    <t>I affirm your need to help underdogs like yourself.</t>
  </si>
  <si>
    <t>The more I respect your need to let the least advantaged find opportunity here, can I trust you to respect my need for protective national borders?</t>
  </si>
  <si>
    <t>No one should be able to buy or own a gun without a full background check.</t>
  </si>
  <si>
    <t>Enough with your gun rights.</t>
  </si>
  <si>
    <t>Keep guns out of the hands of children and mentally deranged killers.</t>
  </si>
  <si>
    <t>Criminal shooters already break gun control measures.</t>
  </si>
  <si>
    <t>Enough with your gun laws. Stop criminalizing my self-defense.</t>
  </si>
  <si>
    <t>Keep the government out of my 2nd Amendment rights.</t>
  </si>
  <si>
    <t>I hear your need for a self-sufficient defense.</t>
  </si>
  <si>
    <t>I affirm your need to personally defend yourself and loved ones.</t>
  </si>
  <si>
    <t>The more I honor your need to arm yourself, I trust you will honor our need to remain safe from gun violence when we cannot defend ourselves.</t>
  </si>
  <si>
    <t>I hear your petrifying fear of violent shooters.</t>
  </si>
  <si>
    <t>I affirm your need to stay secure from all gun violence.</t>
  </si>
  <si>
    <t>The more I honor your need for laws to keep you safe from gun violence, the more I trust you will honor my need to arm myself.</t>
  </si>
  <si>
    <t>Argue pro-choice</t>
  </si>
  <si>
    <t>Reject fetus as life</t>
  </si>
  <si>
    <t>Demand privacy rights</t>
  </si>
  <si>
    <t>Argue pro-life</t>
  </si>
  <si>
    <t>Reject abortion as an easy option</t>
  </si>
  <si>
    <t>Demand preservation of life</t>
  </si>
  <si>
    <t>Affirm life's potential</t>
  </si>
  <si>
    <t>Affirm reproductive needs</t>
  </si>
  <si>
    <t>Keep the government out of arbitrarily deciding when life begins.</t>
  </si>
  <si>
    <t>Every woman has a right over her own body, including her reproductive organs.</t>
  </si>
  <si>
    <t>Her fetus in not her fate.</t>
  </si>
  <si>
    <t>Keep the government out of her private decisions about her own reproductive challenges.</t>
  </si>
  <si>
    <t>The unborn child has a right to a life denied by abortionists.</t>
  </si>
  <si>
    <t>Terminating a life is murder.</t>
  </si>
  <si>
    <t>I hear your need to give voice to the voiceless not yet born.</t>
  </si>
  <si>
    <t>I affirm your need to defend an arguably vulnerable life.</t>
  </si>
  <si>
    <t>The more I honor such unborn rights, the more I trust you to honor reproductive rights.</t>
  </si>
  <si>
    <t>I hear your need to support the woman during an unsupported pregnancy.</t>
  </si>
  <si>
    <t>I affirm your need to trust her responsible judgment.</t>
  </si>
  <si>
    <t>The more I honor such reproductive rights, the more I trust you to honor unborn rights.</t>
  </si>
  <si>
    <t>Healthcare is a right. No one should get sick and die because they cannot afford quality care.</t>
  </si>
  <si>
    <t>Uncouple healthcare from the market.</t>
  </si>
  <si>
    <t>Provide healthcare to all, funded by public tax revenues.</t>
  </si>
  <si>
    <t>Healthcare will get worse if run by government lawyers.</t>
  </si>
  <si>
    <t>Don’t risk my health by imposing a long waiting list.</t>
  </si>
  <si>
    <t>Keep healthcare incentivized by the market, to ensure quality outcomes for all.</t>
  </si>
  <si>
    <t>I hear your need for maintaining private insurance choices for quality care.</t>
  </si>
  <si>
    <t>I affirm your need for individually tailored options.</t>
  </si>
  <si>
    <t>The more I support your quality healthcare choices, the more I count on you to support equal access to healthcare independent of my income status.</t>
  </si>
  <si>
    <t>I hear your need for equally accessible healthcare, independent of your job history.</t>
  </si>
  <si>
    <t>I affirm your need for healthcare regardless of income.</t>
  </si>
  <si>
    <t>The more I support your equal access to healthcare independent of income status, the more I count on you to support my quality healthcare choices.</t>
  </si>
  <si>
    <t>The U.S. incarcerates more of its people than any other nation in the world.</t>
  </si>
  <si>
    <t>End cash bail and end court fines and fees.</t>
  </si>
  <si>
    <t>Replace the prison industrial complex with programs serving our underserved needs.</t>
  </si>
  <si>
    <t>Although imperfect, our criminal justice system is among the best in the world.</t>
  </si>
  <si>
    <t>End parole for the most violent offenders.</t>
  </si>
  <si>
    <t>Lock up every violent offender, to keep our neighborhoods safe.</t>
  </si>
  <si>
    <t>I hear your need to favor the complaints of victims over accused persons of color.</t>
  </si>
  <si>
    <t>I affirm your need to keep individuals safe from crime.</t>
  </si>
  <si>
    <t>The more I empathize with the needs of accusers, the more I expect you to empathize with the needs of the accused.</t>
  </si>
  <si>
    <t>I hear your need to favor accused persons of color over unverified complaints of victims.</t>
  </si>
  <si>
    <t>I affirm your need for collective security from law enforcement overreach.</t>
  </si>
  <si>
    <t>The more I empathize with the needs of the accused, the more I expect you to empathize with the needs of victimized accusers.</t>
  </si>
  <si>
    <t>A free market functions best when government functions as a referee.</t>
  </si>
  <si>
    <t>Argue socialistic policies</t>
  </si>
  <si>
    <t>Reject capitalism</t>
  </si>
  <si>
    <t>Argue capitalistic policies</t>
  </si>
  <si>
    <t>Reject socialism</t>
  </si>
  <si>
    <t>A purely capitalist economy cannot work.</t>
  </si>
  <si>
    <t>Replace capitalistic advantages with socialistic policies so all needs get equally served.</t>
  </si>
  <si>
    <t>Government intrusions undermine incentives for creativity and productivity.</t>
  </si>
  <si>
    <t>A purely socialist economy cannot work.</t>
  </si>
  <si>
    <t>Replace socialistic regulations with free market policies to produce all that we need.</t>
  </si>
  <si>
    <t>I hear your need to incentivize productivity with a profit motive.</t>
  </si>
  <si>
    <t>I affirm the needs of over-regulated producers.</t>
  </si>
  <si>
    <t>The more I uphold the needs of distressed producers, I trust you to uphold the needs of exploitable consumers.</t>
  </si>
  <si>
    <t>I hear your need to protect the poor from exploitation.</t>
  </si>
  <si>
    <t>I affirm the needs of vulnerable shoppers.</t>
  </si>
  <si>
    <t>The more I uphold the needs of exploitable consumers, I trust you to uphold the needs of distressed producers.</t>
  </si>
  <si>
    <t>Yes, overt racism is down, but covert racism persists.</t>
  </si>
  <si>
    <t>Dismissing our complaints doesn’t make racism do away.</t>
  </si>
  <si>
    <t>Listen empathetically to people of color when they complain of structural forms of racism.</t>
  </si>
  <si>
    <t>It’s easier to learn from our mistakes when not forced into conformity.</t>
  </si>
  <si>
    <t>Shaming every piece of implicit bias doesn’t make racism go away.</t>
  </si>
  <si>
    <t>Stop race baiting us, or excluding those of us who are white because we are white.</t>
  </si>
  <si>
    <t>I hear your need not to be shamed over racial slights where you meant no harm.</t>
  </si>
  <si>
    <t>I affirm your need to never be race-baited.</t>
  </si>
  <si>
    <t>The more sensitive I am to shaming your whiteness, the more sensitive you could be to the persisting forms of anti-black discrimination.</t>
  </si>
  <si>
    <t>I hear your need to improve awareness of less visible forms of racial bias.</t>
  </si>
  <si>
    <t>I affirm your need to never be racially profiled.</t>
  </si>
  <si>
    <t>The more sensitive I am to persisting forms of anti-black discrimination, the more sensitive you could be to shaming my unchosen whiteness.</t>
  </si>
  <si>
    <t>Police, as a habit, objectify people of color as expected criminals.</t>
  </si>
  <si>
    <t>No, it’s not a just a few bad apples.</t>
  </si>
  <si>
    <t>Make every officer accountable for their impact, in each interaction with us.</t>
  </si>
  <si>
    <t>Police are vilified by the media, for the bad actions of a few.</t>
  </si>
  <si>
    <t>No, we will not defund the police.</t>
  </si>
  <si>
    <t>Honor our first responders by appreciating the stress they put up with, to protect us.</t>
  </si>
  <si>
    <t>I hear your need to count on police, to be able to fully do their job.</t>
  </si>
  <si>
    <t>I affirm your need to respect the dangerous challenges police often face.</t>
  </si>
  <si>
    <t>The more I empathize with overworked and undertrained officers, the more I need you to empathize with traumatized victims of police brutality.</t>
  </si>
  <si>
    <t>I affirm your need to be personally respected by all enforcers of the law.</t>
  </si>
  <si>
    <t>The more I empathize with traumatized victims of police brutality, the more I need you to empathize with undertrained and overworked officers.</t>
  </si>
  <si>
    <t>Republicans demand voter ID and other formalities to discourage Democrats from voting.</t>
  </si>
  <si>
    <t>Complaints of voter fraud divert attention from their voter suppression efforts.</t>
  </si>
  <si>
    <t>Stop all voter suppression schemes.</t>
  </si>
  <si>
    <t>Democrats play tricks, like double voting and other fraud, to steal elections.</t>
  </si>
  <si>
    <t>Complaints of voter suppression divert attention from their voter fraud efforts.</t>
  </si>
  <si>
    <t>Stop all voter fraud schemes.</t>
  </si>
  <si>
    <t>I hear your need to trust the election process is not rigged in favor of Democrats.</t>
  </si>
  <si>
    <t>I acknowledge your fear of voter fraud. It only takes a few cases to cast doubt on the whole process.</t>
  </si>
  <si>
    <t>The more you suspect voter fraud that could cause Republicans to lose, the more I suspect voter suppression that could cause Democrats to lose. Let’s eliminate both.</t>
  </si>
  <si>
    <t>I hear your need to trust the election process is not rigged in favor of Republicans.</t>
  </si>
  <si>
    <t>I acknowledge your fear of voter suppression. It only takes a few cases to cast doubt on the whole process.</t>
  </si>
  <si>
    <t>The more you suspect voter suppression that could cause Democrats to lose, the more I suspect voter fraud that could cause Republicans to lose. Yes, let’s eliminate both.</t>
  </si>
  <si>
    <t>Wearing a mask in public during this pandemic is not too much to ask.</t>
  </si>
  <si>
    <t>Disregarding scientifically-based safety measures is deadly irresponsible.</t>
  </si>
  <si>
    <t>Don’t overwhelm our hospitals by assuming you can’t spread this lethal virus.</t>
  </si>
  <si>
    <t>Mandating mask wearing and social distancing amounts to government overreach.</t>
  </si>
  <si>
    <t>Setting household gathering limits is arbitrary and unconstitutional.</t>
  </si>
  <si>
    <t>Don’t overwhelm our economy by shutting down every vulnerable business.</t>
  </si>
  <si>
    <t>I hear your complaint, that state ordered shutdowns amount to an unfunded government mandate.</t>
  </si>
  <si>
    <t>I affirm your need to make your own responsible safety decisions, balancing economic responsibilities.</t>
  </si>
  <si>
    <t>The more I empathize with closed businesses, I trust you to empathize with overwhelmed hospitals.</t>
  </si>
  <si>
    <t>I hear your complaint, that disregarding safety measures could overwhelm hospitals right when you need them most.</t>
  </si>
  <si>
    <t>I affirm your need to prioritize safety over economic activity.</t>
  </si>
  <si>
    <t>The more I empathize with overwhelmed hospitals, I trust you to empathize with closed businesses.</t>
  </si>
  <si>
    <t>Hate speech is not free speech, when it traumatizes the unsuspecting listener.</t>
  </si>
  <si>
    <t>Deplatform antagonistic speakers.</t>
  </si>
  <si>
    <t>Cancel any public speaker who spouts xenophobic ideas harmful to the most vulnerable.</t>
  </si>
  <si>
    <t>We need the free flow of ideas for open debate, to find the best ideas.</t>
  </si>
  <si>
    <t>Deplatforming is not the answer.</t>
  </si>
  <si>
    <t>Respect everyone’s First Amendment right to free speech.</t>
  </si>
  <si>
    <t>I hear your critique, that cancel culture which deplatforms evocative public speakers slows the free flow of ideas in public spaces, allowing the spread of groupthink beliefs.</t>
  </si>
  <si>
    <t>I affirm your need for free speech, and not be silenced by political correctness.</t>
  </si>
  <si>
    <t>The more I empathize with your need for free speech, the more I trust you to empathize with our need to shut down hate speech before it can traumatize us any further.</t>
  </si>
  <si>
    <t>I hear your critique, that merit-based public speech easily distorts who can be heard, effectively silencing those with little if any marketability.</t>
  </si>
  <si>
    <t>I affirm your need to be heard, and not be hurt by advantage-based platforms.</t>
  </si>
  <si>
    <t>The more I empathize with your need to shut down trauma-inducing hate speech, the more I trust you to empathize with our need for the free speech flow of ideas.</t>
  </si>
  <si>
    <t>Argue for free speech</t>
  </si>
  <si>
    <t>Reject hostile speakers</t>
  </si>
  <si>
    <t>Demand canceling</t>
  </si>
  <si>
    <t>Argue against hate speech</t>
  </si>
  <si>
    <t>Reject deplatforming</t>
  </si>
  <si>
    <t>Demand free speech</t>
  </si>
  <si>
    <t>Listen to cancel culture harm</t>
  </si>
  <si>
    <t>Affirm need to express</t>
  </si>
  <si>
    <t>Offer freer speech</t>
  </si>
  <si>
    <t>Listen to silenced voices</t>
  </si>
  <si>
    <t>Affirm need to be heard</t>
  </si>
  <si>
    <t>Offer respect for trauma</t>
  </si>
  <si>
    <t>Listen to women</t>
  </si>
  <si>
    <t>Listen to voiceless</t>
  </si>
  <si>
    <t>Offer unborn hope</t>
  </si>
  <si>
    <t>Offer mother hope</t>
  </si>
  <si>
    <t>Argue soft borders</t>
  </si>
  <si>
    <t>Reject enforcement</t>
  </si>
  <si>
    <t>Demand barrier removal</t>
  </si>
  <si>
    <t>Argue firm borders</t>
  </si>
  <si>
    <t>Reject incentives</t>
  </si>
  <si>
    <t>Demand incentives removal</t>
  </si>
  <si>
    <t>Listen for security need</t>
  </si>
  <si>
    <t>Affirm security need</t>
  </si>
  <si>
    <t>Offer firmer boundaries</t>
  </si>
  <si>
    <t>Listen for equality need</t>
  </si>
  <si>
    <t>Affirm underdogs</t>
  </si>
  <si>
    <t>Offer deserving entry</t>
  </si>
  <si>
    <t>Argue climate catastrophe</t>
  </si>
  <si>
    <t>Reject minimizing</t>
  </si>
  <si>
    <t>Demand emissions reductions</t>
  </si>
  <si>
    <t>Argue deregulating</t>
  </si>
  <si>
    <t>Reject exaggerating</t>
  </si>
  <si>
    <t>Demand economic freedom</t>
  </si>
  <si>
    <t>Listen regulation impacts</t>
  </si>
  <si>
    <t>Affirm personal responsibilities</t>
  </si>
  <si>
    <t>Offer market approach a chance</t>
  </si>
  <si>
    <t>Listen climate impacts</t>
  </si>
  <si>
    <t>Affirm shared responsibilities</t>
  </si>
  <si>
    <t>Offer government approach a chance</t>
  </si>
  <si>
    <t>Argue gun control</t>
  </si>
  <si>
    <t>Reject gun rights</t>
  </si>
  <si>
    <t>Demand safety for kids</t>
  </si>
  <si>
    <t>Argue gun rights</t>
  </si>
  <si>
    <t>Reject gun laws</t>
  </si>
  <si>
    <t>Demand 2nd Amendment rights</t>
  </si>
  <si>
    <t>Listen for self-sufficiency</t>
  </si>
  <si>
    <t>Affirm self-defense</t>
  </si>
  <si>
    <t>Offer self-arming</t>
  </si>
  <si>
    <t>Listen for gun trauma</t>
  </si>
  <si>
    <t>Affirm security</t>
  </si>
  <si>
    <t>Offer protection</t>
  </si>
  <si>
    <t>Argue accessible healthcare</t>
  </si>
  <si>
    <t>Reject capitalistic model</t>
  </si>
  <si>
    <t>Demand public funding</t>
  </si>
  <si>
    <t>Argue quality healthcare</t>
  </si>
  <si>
    <t>Reject socialistic model</t>
  </si>
  <si>
    <t>Demand private choices</t>
  </si>
  <si>
    <t>Listen for quality</t>
  </si>
  <si>
    <t>Affirm choices</t>
  </si>
  <si>
    <t>Offer controllable care</t>
  </si>
  <si>
    <t>Listen for equality</t>
  </si>
  <si>
    <t>Affirm access</t>
  </si>
  <si>
    <t>Offer affordable care</t>
  </si>
  <si>
    <t>Argue to abolish prisons</t>
  </si>
  <si>
    <t>Reject conflicts of interest</t>
  </si>
  <si>
    <t>Demand abolishing prisons</t>
  </si>
  <si>
    <t>Argue to improve system</t>
  </si>
  <si>
    <t>Reject soft on crime</t>
  </si>
  <si>
    <t>Demand safe neighborhoods</t>
  </si>
  <si>
    <t>Listen accuser needs</t>
  </si>
  <si>
    <t>Affirm safety from criminals</t>
  </si>
  <si>
    <t>Offer accuser empathy</t>
  </si>
  <si>
    <t>Listen accused needs</t>
  </si>
  <si>
    <t>Affirm safety from government</t>
  </si>
  <si>
    <t>Offer accused empathy</t>
  </si>
  <si>
    <t>Demand equal access</t>
  </si>
  <si>
    <t>Demand free markets</t>
  </si>
  <si>
    <t>Listen to capitalism’s benefits</t>
  </si>
  <si>
    <t>Affirm producer needs</t>
  </si>
  <si>
    <t>Offer productivity rewards</t>
  </si>
  <si>
    <t>Listen to socialism’s benefits</t>
  </si>
  <si>
    <t>Affirm consumer needs</t>
  </si>
  <si>
    <t>Offer consumer protection</t>
  </si>
  <si>
    <t>Argue systemic problem</t>
  </si>
  <si>
    <t>Reject colorblindness</t>
  </si>
  <si>
    <t>Demand recognition</t>
  </si>
  <si>
    <t>Argue personal problem</t>
  </si>
  <si>
    <t>Reject shaming</t>
  </si>
  <si>
    <t>Demand understanding</t>
  </si>
  <si>
    <t>Listen for embarrassment</t>
  </si>
  <si>
    <t>Affirm blacklisting risk</t>
  </si>
  <si>
    <t>Offer circumspection</t>
  </si>
  <si>
    <t>Listen for discrimination</t>
  </si>
  <si>
    <t>Affirm racial profiling risk</t>
  </si>
  <si>
    <t>Offer sensitivity</t>
  </si>
  <si>
    <t>Argue rethinking police roles</t>
  </si>
  <si>
    <t>Demand accountability</t>
  </si>
  <si>
    <t>Argue respecting police work</t>
  </si>
  <si>
    <t>Reject defunding</t>
  </si>
  <si>
    <t>Demand responsibility</t>
  </si>
  <si>
    <t>Listen first responder impacts</t>
  </si>
  <si>
    <t>Affirm risk to officers</t>
  </si>
  <si>
    <t>Offer first responders respect</t>
  </si>
  <si>
    <t>Listen lethal force impacts</t>
  </si>
  <si>
    <t>Affirm risk to targeted</t>
  </si>
  <si>
    <t>Offer police victims respect</t>
  </si>
  <si>
    <t>Argue v. voter suppression</t>
  </si>
  <si>
    <t>Reject cheating Republicans</t>
  </si>
  <si>
    <t>Demand fairer elections</t>
  </si>
  <si>
    <t>Argue v. voter fraud</t>
  </si>
  <si>
    <t>Reject cheating Democrats</t>
  </si>
  <si>
    <t>Listen for fraud</t>
  </si>
  <si>
    <t>Affirm some Democrats cheat</t>
  </si>
  <si>
    <t>Offer check on fraud</t>
  </si>
  <si>
    <t>Listen for suppression</t>
  </si>
  <si>
    <t>Affirm some Republicans cheat</t>
  </si>
  <si>
    <t>Offer check on suppression</t>
  </si>
  <si>
    <t>Argue public safety</t>
  </si>
  <si>
    <t>Reject irresponsibility</t>
  </si>
  <si>
    <t>Demand healthcare access</t>
  </si>
  <si>
    <t>Argue private responsibility</t>
  </si>
  <si>
    <t>Reject imposed rules</t>
  </si>
  <si>
    <t>Listen to impacted businesses</t>
  </si>
  <si>
    <t>Affirm responsible decisions</t>
  </si>
  <si>
    <t>Offer empathy to businesses</t>
  </si>
  <si>
    <t>Listen to impacted hospitals</t>
  </si>
  <si>
    <t>Affirm safety decisions</t>
  </si>
  <si>
    <t>Offer empathy to hospitals</t>
  </si>
  <si>
    <t>I hear your need for greater accountability for police use of lethal force.</t>
  </si>
  <si>
    <t>CAMPAIGN PHASES</t>
  </si>
  <si>
    <t>Launch phase</t>
  </si>
  <si>
    <t>Client self-invests</t>
  </si>
  <si>
    <t>Followers</t>
  </si>
  <si>
    <t>Supporters</t>
  </si>
  <si>
    <r>
      <rPr>
        <b/>
        <sz val="12"/>
        <color theme="1"/>
        <rFont val="Cambria"/>
        <family val="1"/>
      </rPr>
      <t>TOTAL</t>
    </r>
    <r>
      <rPr>
        <sz val="12"/>
        <color theme="1"/>
        <rFont val="Cambria"/>
        <family val="1"/>
      </rPr>
      <t>:</t>
    </r>
  </si>
  <si>
    <t>to platform</t>
  </si>
  <si>
    <t>Balance</t>
  </si>
  <si>
    <t>Disburse</t>
  </si>
  <si>
    <t>to campaign</t>
  </si>
  <si>
    <t>Base phase</t>
  </si>
  <si>
    <t>Growth phase</t>
  </si>
  <si>
    <t>Patrons</t>
  </si>
  <si>
    <t>weekly</t>
  </si>
  <si>
    <t>Your political outlook:</t>
  </si>
  <si>
    <t>Political issue:</t>
  </si>
  <si>
    <t>You</t>
  </si>
  <si>
    <t>F's</t>
  </si>
  <si>
    <t>S's</t>
  </si>
  <si>
    <t>B C's</t>
  </si>
  <si>
    <t>G C's</t>
  </si>
  <si>
    <t>P's</t>
  </si>
  <si>
    <t>Linkage</t>
  </si>
  <si>
    <t>Responsive</t>
  </si>
  <si>
    <t>Impact</t>
  </si>
  <si>
    <t>direct</t>
  </si>
  <si>
    <t>peripheral</t>
  </si>
  <si>
    <t>sidechain</t>
  </si>
  <si>
    <t>Your prioritized publicly impacted needs:</t>
  </si>
  <si>
    <t>Situations tends to prioritize one over the other.</t>
  </si>
  <si>
    <r>
      <rPr>
        <b/>
        <sz val="11"/>
        <color theme="1"/>
        <rFont val="Cambria"/>
        <family val="1"/>
      </rPr>
      <t>1</t>
    </r>
    <r>
      <rPr>
        <sz val="11"/>
        <color theme="1"/>
        <rFont val="Cambria"/>
        <family val="1"/>
      </rPr>
      <t>.   effective for demand or efficient for supply</t>
    </r>
  </si>
  <si>
    <r>
      <rPr>
        <b/>
        <sz val="11"/>
        <color theme="1"/>
        <rFont val="Cambria"/>
        <family val="1"/>
      </rPr>
      <t>2</t>
    </r>
    <r>
      <rPr>
        <sz val="11"/>
        <color theme="1"/>
        <rFont val="Cambria"/>
        <family val="1"/>
      </rPr>
      <t>.   live equally or live freely</t>
    </r>
  </si>
  <si>
    <r>
      <rPr>
        <b/>
        <sz val="11"/>
        <color theme="1"/>
        <rFont val="Cambria"/>
        <family val="1"/>
      </rPr>
      <t>3</t>
    </r>
    <r>
      <rPr>
        <sz val="11"/>
        <color theme="1"/>
        <rFont val="Cambria"/>
        <family val="1"/>
      </rPr>
      <t>.   social inclusion or social cohesion</t>
    </r>
  </si>
  <si>
    <r>
      <rPr>
        <b/>
        <sz val="11"/>
        <color theme="1"/>
        <rFont val="Cambria"/>
        <family val="1"/>
      </rPr>
      <t>4</t>
    </r>
    <r>
      <rPr>
        <sz val="11"/>
        <color theme="1"/>
        <rFont val="Cambria"/>
        <family val="1"/>
      </rPr>
      <t>.   favor the vulnerable or favor the productive</t>
    </r>
  </si>
  <si>
    <r>
      <rPr>
        <b/>
        <sz val="11"/>
        <color theme="1"/>
        <rFont val="Cambria"/>
        <family val="1"/>
      </rPr>
      <t>5</t>
    </r>
    <r>
      <rPr>
        <sz val="11"/>
        <color theme="1"/>
        <rFont val="Cambria"/>
        <family val="1"/>
      </rPr>
      <t>.   collective capacity or individual capacity</t>
    </r>
  </si>
  <si>
    <r>
      <rPr>
        <b/>
        <sz val="11"/>
        <color theme="1"/>
        <rFont val="Cambria"/>
        <family val="1"/>
      </rPr>
      <t>6</t>
    </r>
    <r>
      <rPr>
        <sz val="11"/>
        <color theme="1"/>
        <rFont val="Cambria"/>
        <family val="1"/>
      </rPr>
      <t>.   public goods or private goods</t>
    </r>
  </si>
  <si>
    <r>
      <rPr>
        <b/>
        <sz val="11"/>
        <color theme="1"/>
        <rFont val="Cambria"/>
        <family val="1"/>
      </rPr>
      <t>7</t>
    </r>
    <r>
      <rPr>
        <sz val="11"/>
        <color theme="1"/>
        <rFont val="Cambria"/>
        <family val="1"/>
      </rPr>
      <t>.   oppression threat or tyranny threat</t>
    </r>
  </si>
  <si>
    <r>
      <rPr>
        <b/>
        <sz val="11"/>
        <color theme="1"/>
        <rFont val="Cambria"/>
        <family val="1"/>
      </rPr>
      <t>8</t>
    </r>
    <r>
      <rPr>
        <sz val="11"/>
        <color theme="1"/>
        <rFont val="Cambria"/>
        <family val="1"/>
      </rPr>
      <t>.   trauma risk or terror risk</t>
    </r>
  </si>
  <si>
    <t>Your priorities shaping your politics:</t>
  </si>
  <si>
    <t>Select the best response fitting you for each.</t>
  </si>
  <si>
    <t xml:space="preserve">Love shifts your focus away from your prioritizing only your politicized needs to empathizing with their impacted needs. Once you encounter each other's specific needs, you draw much closer to resolving them. </t>
  </si>
  <si>
    <t xml:space="preserve"> impacted needs to empathizing with their </t>
  </si>
  <si>
    <t xml:space="preserve"> affected needs, you draw much closer to resolving such needs. </t>
  </si>
  <si>
    <t>pace by price point</t>
  </si>
  <si>
    <t>Sample progress update</t>
  </si>
  <si>
    <t xml:space="preserve">Your </t>
  </si>
  <si>
    <t xml:space="preserve"> affected needs will unlikely resolve if you only argue, reject, and demand. </t>
  </si>
  <si>
    <t xml:space="preserve"> politics exists to sort out our priority of needs, not to drive a deeper wedge between us. Let's close this gap with some empathy and love. Let's find a more need-responsive </t>
  </si>
  <si>
    <t xml:space="preserve"> politics easily abandons you in this painful zone of hostile differences. We cannot solve our specific problems from the level of generalizing that created them.</t>
  </si>
  <si>
    <t>government role</t>
  </si>
  <si>
    <t>market role</t>
  </si>
  <si>
    <t>Your trusted generalizations for public relief</t>
  </si>
  <si>
    <t>Their trusted generalizations for public relief</t>
  </si>
  <si>
    <t xml:space="preserve">Your publicly impacted </t>
  </si>
  <si>
    <t xml:space="preserve">Their publicly impacted </t>
  </si>
  <si>
    <t xml:space="preserve"> needs</t>
  </si>
  <si>
    <t>5. A call for moral leadership</t>
  </si>
  <si>
    <t>6. Your opportunity to affirm diverse needs</t>
  </si>
  <si>
    <t>7. Your opportunity to relate more specifically</t>
  </si>
  <si>
    <t>8. Your opportunity to spread more love</t>
  </si>
  <si>
    <r>
      <rPr>
        <sz val="12"/>
        <rFont val="Cambria"/>
        <family val="1"/>
      </rPr>
      <t xml:space="preserve">Politics typically divides between a side prioritizing their publicly impacted </t>
    </r>
    <r>
      <rPr>
        <i/>
        <sz val="12"/>
        <rFont val="Cambria"/>
        <family val="1"/>
      </rPr>
      <t>social-needs</t>
    </r>
    <r>
      <rPr>
        <sz val="12"/>
        <rFont val="Cambria"/>
        <family val="1"/>
      </rPr>
      <t xml:space="preserve"> (e.g., nondiscrimination, equality) and a side prioritizing their publicly impacted </t>
    </r>
    <r>
      <rPr>
        <i/>
        <sz val="12"/>
        <rFont val="Cambria"/>
        <family val="1"/>
      </rPr>
      <t xml:space="preserve">self-needs </t>
    </r>
    <r>
      <rPr>
        <sz val="12"/>
        <rFont val="Cambria"/>
        <family val="1"/>
      </rPr>
      <t>(e.g., self-sufficiency, incentivization). Learn more at the</t>
    </r>
    <r>
      <rPr>
        <sz val="12"/>
        <color theme="10"/>
        <rFont val="Cambria"/>
        <family val="1"/>
      </rPr>
      <t xml:space="preserve"> </t>
    </r>
    <r>
      <rPr>
        <b/>
        <sz val="12"/>
        <color theme="10"/>
        <rFont val="Cambria"/>
        <family val="1"/>
      </rPr>
      <t>HP</t>
    </r>
    <r>
      <rPr>
        <sz val="12"/>
        <color theme="10"/>
        <rFont val="Cambria"/>
        <family val="1"/>
      </rPr>
      <t xml:space="preserve"> tab</t>
    </r>
    <r>
      <rPr>
        <sz val="12"/>
        <rFont val="Cambria"/>
        <family val="1"/>
      </rPr>
      <t>.</t>
    </r>
  </si>
  <si>
    <t xml:space="preserve">Love shifts your focus. Away from your </t>
  </si>
  <si>
    <t xml:space="preserve"> impacted needs. You go beyond compromise. Once you encounter each other's specific </t>
  </si>
  <si>
    <t>Indeed, unless you let go of generalizing to address specifics, your needs never actually resolve. You then remain in pain.</t>
  </si>
  <si>
    <t xml:space="preserve">If there are competing ways for a society to address a particular public facing need, like </t>
  </si>
  <si>
    <t xml:space="preserve">, then there is likely something wrong with that society. Core needs generally do not contradict. Or they never would have evolved in the first place. Together, with empathy and love, you paradoxically resolve each other's competing </t>
  </si>
  <si>
    <t xml:space="preserve"> priorities. So you can both complement each other once again.</t>
  </si>
  <si>
    <t>10. Harmonize your politics to each other's needs</t>
  </si>
  <si>
    <t xml:space="preserve"> needs. The more you move from generalizing from your </t>
  </si>
  <si>
    <t xml:space="preserve"> emphasis, the better you can appreciate the specifics behind their </t>
  </si>
  <si>
    <t xml:space="preserve"> emphasis. In fact, political winners earn a greater responsibility to support the losing side's </t>
  </si>
  <si>
    <t xml:space="preserve"> impacted needs. You both drop your guard to connect with each other's needs, with empathy and love.</t>
  </si>
  <si>
    <t xml:space="preserve">, the easier to move on to more specific and mutually respectful ways to address their impacted </t>
  </si>
  <si>
    <t>9. Let love take you back the source</t>
  </si>
  <si>
    <t xml:space="preserve"> or more specific ways to address your impacted </t>
  </si>
  <si>
    <t>T</t>
  </si>
  <si>
    <t xml:space="preserve"> position. Your needs come first. Your needs prioritize your political reasoning, for their relief. </t>
  </si>
  <si>
    <t>WIDE:</t>
  </si>
  <si>
    <t>DEEP:</t>
  </si>
  <si>
    <t xml:space="preserve">We must </t>
  </si>
  <si>
    <t xml:space="preserve">They </t>
  </si>
  <si>
    <t xml:space="preserve"> and insist we </t>
  </si>
  <si>
    <t xml:space="preserve">I want to better understand </t>
  </si>
  <si>
    <t xml:space="preserve"> and the need </t>
  </si>
  <si>
    <t xml:space="preserve">The more I support </t>
  </si>
  <si>
    <t xml:space="preserve">, the more I trust you to support </t>
  </si>
  <si>
    <t xml:space="preserve">"Conservatives are all bad! They </t>
  </si>
  <si>
    <t xml:space="preserve">"Liberals are all bad! They </t>
  </si>
  <si>
    <t>!"</t>
  </si>
  <si>
    <r>
      <rPr>
        <b/>
        <sz val="13"/>
        <color theme="1"/>
        <rFont val="Arial"/>
        <family val="2"/>
      </rPr>
      <t>Harmony Politics</t>
    </r>
    <r>
      <rPr>
        <sz val="13"/>
        <color theme="1"/>
        <rFont val="Cambria"/>
        <family val="1"/>
      </rPr>
      <t xml:space="preserve"> brings both sides together, to connect with each other's needs. Rather than </t>
    </r>
    <r>
      <rPr>
        <i/>
        <sz val="13"/>
        <color theme="1"/>
        <rFont val="Cambria"/>
        <family val="1"/>
      </rPr>
      <t>argue</t>
    </r>
    <r>
      <rPr>
        <sz val="13"/>
        <color theme="1"/>
        <rFont val="Cambria"/>
        <family val="1"/>
      </rPr>
      <t xml:space="preserve">, you </t>
    </r>
    <r>
      <rPr>
        <b/>
        <sz val="13"/>
        <color theme="1"/>
        <rFont val="Cambria"/>
        <family val="1"/>
      </rPr>
      <t>listen</t>
    </r>
    <r>
      <rPr>
        <sz val="13"/>
        <color theme="1"/>
        <rFont val="Cambria"/>
        <family val="1"/>
      </rPr>
      <t xml:space="preserve">. Rather than </t>
    </r>
    <r>
      <rPr>
        <i/>
        <sz val="13"/>
        <color theme="1"/>
        <rFont val="Cambria"/>
        <family val="1"/>
      </rPr>
      <t>reject</t>
    </r>
    <r>
      <rPr>
        <sz val="13"/>
        <color theme="1"/>
        <rFont val="Cambria"/>
        <family val="1"/>
      </rPr>
      <t xml:space="preserve">, you </t>
    </r>
    <r>
      <rPr>
        <b/>
        <sz val="13"/>
        <color theme="1"/>
        <rFont val="Cambria"/>
        <family val="1"/>
      </rPr>
      <t>affirm</t>
    </r>
    <r>
      <rPr>
        <sz val="13"/>
        <color theme="1"/>
        <rFont val="Cambria"/>
        <family val="1"/>
      </rPr>
      <t xml:space="preserve">. Rather than </t>
    </r>
    <r>
      <rPr>
        <i/>
        <sz val="13"/>
        <color theme="1"/>
        <rFont val="Cambria"/>
        <family val="1"/>
      </rPr>
      <t>demand</t>
    </r>
    <r>
      <rPr>
        <sz val="13"/>
        <color theme="1"/>
        <rFont val="Cambria"/>
        <family val="1"/>
      </rPr>
      <t xml:space="preserve">, you </t>
    </r>
    <r>
      <rPr>
        <b/>
        <sz val="13"/>
        <color theme="1"/>
        <rFont val="Cambria"/>
        <family val="1"/>
      </rPr>
      <t>offer</t>
    </r>
    <r>
      <rPr>
        <sz val="13"/>
        <color theme="1"/>
        <rFont val="Cambria"/>
        <family val="1"/>
      </rPr>
      <t>.</t>
    </r>
  </si>
  <si>
    <t>I affirm your thirst expresses your need for water.</t>
  </si>
  <si>
    <t>I affirm your hunger expresses your need for food.</t>
  </si>
  <si>
    <t>I affirm your loneliness expresses your need for connection.</t>
  </si>
  <si>
    <t>I affirm your depression expresses your need for redirection.</t>
  </si>
  <si>
    <t>We must distribute food to all equally, according to need, to ensure no one suffers.</t>
  </si>
  <si>
    <t>We must distribute water to all equally, according to need, to ensure no one suffers.</t>
  </si>
  <si>
    <t>We must distribute water equitably, according to ability, to ensure a steady supply.</t>
  </si>
  <si>
    <t>We must distribute food equitably, according to ability, to ensure a steady supply.</t>
  </si>
  <si>
    <t>We must guard the social cohesion of our families to ensure we stay connected.</t>
  </si>
  <si>
    <t>I affirm your feeling smothered reveals your need for solitude.</t>
  </si>
  <si>
    <t>We must let everyone be their private selves, regardless of traditional norms.</t>
  </si>
  <si>
    <t>We must put personal rights, like the right to solitude, over collective rights.</t>
  </si>
  <si>
    <t>We must confront systemic oppression causing much of our depression.</t>
  </si>
  <si>
    <t>We must take greater personal responsibility for our lives to avoid depression.</t>
  </si>
  <si>
    <t>Cage children</t>
  </si>
  <si>
    <t>Let in murderers</t>
  </si>
  <si>
    <t>Deny climate impact</t>
  </si>
  <si>
    <t>Strangle the economy</t>
  </si>
  <si>
    <t>Downplay mass shootings</t>
  </si>
  <si>
    <t>Murder children</t>
  </si>
  <si>
    <t>Would confiscate all guns</t>
  </si>
  <si>
    <t>Let the poor suffer</t>
  </si>
  <si>
    <t>Socialize healthcare</t>
  </si>
  <si>
    <t>Target poor POC</t>
  </si>
  <si>
    <t>Coddle criminals</t>
  </si>
  <si>
    <t>Increase inequality</t>
  </si>
  <si>
    <t>Would tax us to death</t>
  </si>
  <si>
    <t>See racism everywhere</t>
  </si>
  <si>
    <t>Feed structural racism</t>
  </si>
  <si>
    <t>Excuse lethal force</t>
  </si>
  <si>
    <t>Would defund the police</t>
  </si>
  <si>
    <t>Exaggerate voter fraud</t>
  </si>
  <si>
    <t>Exaggerate voter suppression</t>
  </si>
  <si>
    <t>Ignore safety</t>
  </si>
  <si>
    <t>Force business failures</t>
  </si>
  <si>
    <t>Use hate speech</t>
  </si>
  <si>
    <t>Deplatform offensive speech</t>
  </si>
  <si>
    <t>Parallel political differences</t>
  </si>
  <si>
    <t>It's about generalizing for a different priority of needs</t>
  </si>
  <si>
    <t>After the left-right divide, we look at four other political distinctions.</t>
  </si>
  <si>
    <t>Respecting all political differences</t>
  </si>
  <si>
    <t>Together, we let go of generalizing to address specifics. We dissolve the pain. And we improve each other's lives.</t>
  </si>
  <si>
    <t>Engaging</t>
  </si>
  <si>
    <t>AI name</t>
  </si>
  <si>
    <t>supportive</t>
  </si>
  <si>
    <r>
      <t xml:space="preserve">Divisive politics tempt us to exaggerate about each other. Political elites expect you to oppose each other. To distrust and hate each other. Elites benefit when you </t>
    </r>
    <r>
      <rPr>
        <b/>
        <sz val="14"/>
        <color theme="1"/>
        <rFont val="Cambria"/>
        <family val="1"/>
      </rPr>
      <t>argue</t>
    </r>
    <r>
      <rPr>
        <sz val="14"/>
        <color theme="1"/>
        <rFont val="Cambria"/>
        <family val="1"/>
      </rPr>
      <t xml:space="preserve">, </t>
    </r>
    <r>
      <rPr>
        <b/>
        <sz val="14"/>
        <color theme="1"/>
        <rFont val="Cambria"/>
        <family val="1"/>
      </rPr>
      <t>reject</t>
    </r>
    <r>
      <rPr>
        <sz val="14"/>
        <color theme="1"/>
        <rFont val="Cambria"/>
        <family val="1"/>
      </rPr>
      <t xml:space="preserve">, and </t>
    </r>
    <r>
      <rPr>
        <b/>
        <sz val="14"/>
        <color theme="1"/>
        <rFont val="Cambria"/>
        <family val="1"/>
      </rPr>
      <t>demand</t>
    </r>
    <r>
      <rPr>
        <sz val="14"/>
        <color theme="1"/>
        <rFont val="Cambria"/>
        <family val="1"/>
      </rPr>
      <t xml:space="preserve"> selfishly from each other.
</t>
    </r>
  </si>
  <si>
    <t>Now do something about it</t>
  </si>
  <si>
    <t xml:space="preserve">Now do something about your </t>
  </si>
  <si>
    <t>Everyone has needs. Those in power tend to address their needs at other's expense.</t>
  </si>
  <si>
    <r>
      <rPr>
        <b/>
        <sz val="11.5"/>
        <color theme="1"/>
        <rFont val="Arial"/>
        <family val="2"/>
      </rPr>
      <t>Proactive advocacy</t>
    </r>
    <r>
      <rPr>
        <sz val="11.5"/>
        <color theme="1"/>
        <rFont val="Arial"/>
        <family val="2"/>
      </rPr>
      <t xml:space="preserve"> identifies and addresses the needs on both sides of a political issue.</t>
    </r>
  </si>
  <si>
    <t xml:space="preserve">As the RI, you humbly yet firmly "report" being impacted by others of power. </t>
  </si>
  <si>
    <t>You "ascribe" who impacts you forcefully, giving them a chance to respond.</t>
  </si>
  <si>
    <t>The IPM places you the RI on equal footing as the AIs impacting your life.</t>
  </si>
  <si>
    <t>Name</t>
  </si>
  <si>
    <t>potentially</t>
  </si>
  <si>
    <t>accessible</t>
  </si>
  <si>
    <t>Accessibility</t>
  </si>
  <si>
    <t>unaccessible</t>
  </si>
  <si>
    <t>downchain</t>
  </si>
  <si>
    <t>upchain</t>
  </si>
  <si>
    <t>unresponsive</t>
  </si>
  <si>
    <t>responsive</t>
  </si>
  <si>
    <t>investing</t>
  </si>
  <si>
    <r>
      <t xml:space="preserve">Your </t>
    </r>
    <r>
      <rPr>
        <b/>
        <sz val="22"/>
        <color rgb="FF00B050"/>
        <rFont val="Tahoma"/>
        <family val="2"/>
      </rPr>
      <t>Relating</t>
    </r>
    <r>
      <rPr>
        <b/>
        <sz val="22"/>
        <color rgb="FF00501E"/>
        <rFont val="Tahoma"/>
        <family val="2"/>
      </rPr>
      <t xml:space="preserve"> </t>
    </r>
    <r>
      <rPr>
        <b/>
        <sz val="22"/>
        <color rgb="FF7030A0"/>
        <rFont val="Tahoma"/>
        <family val="2"/>
      </rPr>
      <t>Terms</t>
    </r>
  </si>
  <si>
    <t>differentness</t>
  </si>
  <si>
    <t>efficacy</t>
  </si>
  <si>
    <t>novel</t>
  </si>
  <si>
    <t>minority</t>
  </si>
  <si>
    <t>group</t>
  </si>
  <si>
    <t>equality</t>
  </si>
  <si>
    <t>public goods</t>
  </si>
  <si>
    <t>public sector</t>
  </si>
  <si>
    <t>collective</t>
  </si>
  <si>
    <t>"oppression"</t>
  </si>
  <si>
    <t>marginalized</t>
  </si>
  <si>
    <t>private goods</t>
  </si>
  <si>
    <t>private sector</t>
  </si>
  <si>
    <t>familiar</t>
  </si>
  <si>
    <t>traditional</t>
  </si>
  <si>
    <t>freedom</t>
  </si>
  <si>
    <t>stability</t>
  </si>
  <si>
    <t>individual</t>
  </si>
  <si>
    <t>"tyranny"</t>
  </si>
  <si>
    <t>intruded</t>
  </si>
  <si>
    <t xml:space="preserve">Catastrophizing often sinks in. What do you fear most if the other side gets their way? Will they </t>
  </si>
  <si>
    <t>RI:</t>
  </si>
  <si>
    <r>
      <rPr>
        <b/>
        <sz val="10"/>
        <color rgb="FF7030A0"/>
        <rFont val="Arial Narrow"/>
        <family val="2"/>
      </rPr>
      <t>RI POSITION</t>
    </r>
    <r>
      <rPr>
        <sz val="10"/>
        <color rgb="FF7030A0"/>
        <rFont val="Arial Narrow"/>
        <family val="2"/>
      </rPr>
      <t>:</t>
    </r>
  </si>
  <si>
    <r>
      <rPr>
        <b/>
        <strike/>
        <sz val="10"/>
        <color rgb="FF00B050"/>
        <rFont val="Arial Narrow"/>
        <family val="2"/>
      </rPr>
      <t>CLIENT POSITION</t>
    </r>
    <r>
      <rPr>
        <strike/>
        <sz val="10"/>
        <color rgb="FF00B050"/>
        <rFont val="Arial Narrow"/>
        <family val="2"/>
      </rPr>
      <t>:</t>
    </r>
  </si>
  <si>
    <r>
      <rPr>
        <b/>
        <strike/>
        <sz val="10"/>
        <color rgb="FF00B050"/>
        <rFont val="Arial Narrow"/>
        <family val="2"/>
      </rPr>
      <t>CLIENT FOCUS</t>
    </r>
    <r>
      <rPr>
        <strike/>
        <sz val="10"/>
        <color rgb="FF00B050"/>
        <rFont val="Arial Narrow"/>
        <family val="2"/>
      </rPr>
      <t>:</t>
    </r>
  </si>
  <si>
    <t>? Do they fear your side will "</t>
  </si>
  <si>
    <t>confiscate all guns</t>
  </si>
  <si>
    <t>tax us to death</t>
  </si>
  <si>
    <t>defund the police</t>
  </si>
  <si>
    <t>disarm law abiders</t>
  </si>
  <si>
    <t xml:space="preserve">"? Do you continue to trust divisive </t>
  </si>
  <si>
    <t xml:space="preserve">. This descent into mean-spirited squabbling too easily passes for political debate. Divisive politics fails you every time. Instead of provoking each other's defenses, and shutting down any meaningful conversation, you need a better way to relate to each other's </t>
  </si>
  <si>
    <t xml:space="preserve">. This descent into mean-spirited squabbling too easily passes for political debate. Divisive politics fails you every time. Instead of provoking each other's defenses, you need a better way to relate to each other's </t>
  </si>
  <si>
    <t xml:space="preserve"> related needs.</t>
  </si>
  <si>
    <t xml:space="preserve">Starting with each other's </t>
  </si>
  <si>
    <t xml:space="preserve"> affected needs begins us on a path of mutual respect.</t>
  </si>
  <si>
    <r>
      <t xml:space="preserve">When the RI eventually reacts, 
the </t>
    </r>
    <r>
      <rPr>
        <b/>
        <sz val="11"/>
        <color theme="1"/>
        <rFont val="Cambria"/>
        <family val="1"/>
      </rPr>
      <t>AI</t>
    </r>
    <r>
      <rPr>
        <sz val="11"/>
        <color theme="1"/>
        <rFont val="Cambria"/>
        <family val="1"/>
      </rPr>
      <t xml:space="preserve"> often guards self from pain in this
</t>
    </r>
    <r>
      <rPr>
        <b/>
        <sz val="14"/>
        <color theme="1"/>
        <rFont val="Tahoma"/>
        <family val="2"/>
      </rPr>
      <t>ADVERSARIAL PHASE</t>
    </r>
    <r>
      <rPr>
        <sz val="11"/>
        <color theme="1"/>
        <rFont val="Cambria"/>
        <family val="1"/>
      </rPr>
      <t>.</t>
    </r>
  </si>
  <si>
    <r>
      <t xml:space="preserve">When that pain gets unbearable, 
the </t>
    </r>
    <r>
      <rPr>
        <b/>
        <sz val="11"/>
        <color theme="1"/>
        <rFont val="Cambria"/>
        <family val="1"/>
      </rPr>
      <t>RI</t>
    </r>
    <r>
      <rPr>
        <sz val="11"/>
        <color theme="1"/>
        <rFont val="Cambria"/>
        <family val="1"/>
      </rPr>
      <t xml:space="preserve"> may shift to a pain-relieving
</t>
    </r>
    <r>
      <rPr>
        <b/>
        <sz val="14"/>
        <color theme="1"/>
        <rFont val="Tahoma"/>
        <family val="2"/>
      </rPr>
      <t>ADVERSARIAL PHASE</t>
    </r>
    <r>
      <rPr>
        <sz val="11"/>
        <color theme="1"/>
        <rFont val="Cambria"/>
        <family val="1"/>
      </rPr>
      <t>.</t>
    </r>
  </si>
  <si>
    <r>
      <t xml:space="preserve">Peace resumes when boths sides identify and address each other's affected needs in this
</t>
    </r>
    <r>
      <rPr>
        <b/>
        <sz val="14"/>
        <color theme="1"/>
        <rFont val="Tahoma"/>
        <family val="2"/>
      </rPr>
      <t>CONCILIATORY TRANSITION</t>
    </r>
    <r>
      <rPr>
        <sz val="11"/>
        <color theme="1"/>
        <rFont val="Cambria"/>
        <family val="1"/>
      </rPr>
      <t>.</t>
    </r>
  </si>
  <si>
    <r>
      <t xml:space="preserve">Peace resumes when boths sides identify and address each other's affect needs in this
</t>
    </r>
    <r>
      <rPr>
        <b/>
        <sz val="14"/>
        <color theme="1"/>
        <rFont val="Tahoma"/>
        <family val="2"/>
      </rPr>
      <t>CONCILIATORY TRANSITION</t>
    </r>
    <r>
      <rPr>
        <sz val="11"/>
        <color theme="1"/>
        <rFont val="Cambria"/>
        <family val="1"/>
      </rPr>
      <t>.</t>
    </r>
  </si>
  <si>
    <r>
      <t xml:space="preserve">The </t>
    </r>
    <r>
      <rPr>
        <b/>
        <sz val="11"/>
        <color theme="1"/>
        <rFont val="Cambria"/>
        <family val="1"/>
      </rPr>
      <t>RI</t>
    </r>
    <r>
      <rPr>
        <sz val="11"/>
        <color theme="1"/>
        <rFont val="Cambria"/>
        <family val="1"/>
      </rPr>
      <t xml:space="preserve"> typically endures the coercive impact 
of a power relation in a fearful
</t>
    </r>
    <r>
      <rPr>
        <b/>
        <sz val="14"/>
        <color theme="1"/>
        <rFont val="Tahoma"/>
        <family val="2"/>
      </rPr>
      <t>AVOIDANCE PHASE</t>
    </r>
    <r>
      <rPr>
        <sz val="11"/>
        <color theme="1"/>
        <rFont val="Cambria"/>
        <family val="1"/>
      </rPr>
      <t>.</t>
    </r>
  </si>
  <si>
    <r>
      <t xml:space="preserve">The </t>
    </r>
    <r>
      <rPr>
        <b/>
        <sz val="11"/>
        <color theme="1"/>
        <rFont val="Cambria"/>
        <family val="1"/>
      </rPr>
      <t>AI</t>
    </r>
    <r>
      <rPr>
        <sz val="11"/>
        <color theme="1"/>
        <rFont val="Cambria"/>
        <family val="1"/>
      </rPr>
      <t xml:space="preserve"> tends to steer clear of uncomfortable 
details of those they impact in this
</t>
    </r>
    <r>
      <rPr>
        <b/>
        <sz val="14"/>
        <color theme="1"/>
        <rFont val="Tahoma"/>
        <family val="2"/>
      </rPr>
      <t>AVOIDANCE PHASE</t>
    </r>
    <r>
      <rPr>
        <sz val="11"/>
        <color theme="1"/>
        <rFont val="Cambria"/>
        <family val="1"/>
      </rPr>
      <t>.</t>
    </r>
  </si>
  <si>
    <t>habitat protection</t>
  </si>
  <si>
    <t xml:space="preserve"> positions. You or someone on your side likely insists we </t>
  </si>
  <si>
    <r>
      <t xml:space="preserve">All this name-calling and catastrophizing betrays a lack of moral political leadership. Political change with moral leadership, as exemplifed by Dr. King and others, connects to the </t>
    </r>
    <r>
      <rPr>
        <b/>
        <i/>
        <sz val="12.5"/>
        <color theme="1"/>
        <rFont val="Cambria"/>
        <family val="1"/>
      </rPr>
      <t>complementary needs on both sides</t>
    </r>
    <r>
      <rPr>
        <sz val="12.5"/>
        <color theme="1"/>
        <rFont val="Cambria"/>
        <family val="1"/>
      </rPr>
      <t xml:space="preserve"> of any politicized issue. Moral leadership never pits us against each other for what we inflexibly need. Moral leadership first understands, and is then understood.</t>
    </r>
  </si>
  <si>
    <t xml:space="preserve">The better you relate to the other side's call to </t>
  </si>
  <si>
    <t xml:space="preserve"> needs. You make it easier for them to relate to your call to </t>
  </si>
  <si>
    <t>Let's shift from hostility to mutual respect in these ten phases.</t>
  </si>
  <si>
    <t>Divisive politics sets a trap you can escape with love.</t>
  </si>
  <si>
    <t>You can defy low expectations with the love you can give first.</t>
  </si>
  <si>
    <t xml:space="preserve"> affected needs.</t>
  </si>
  <si>
    <t xml:space="preserve">Start with love by addressing each other's </t>
  </si>
  <si>
    <t>Your input</t>
  </si>
  <si>
    <t xml:space="preserve">Currently, this process envisions a trained counselor to guide you through this journey. </t>
  </si>
  <si>
    <t>Urgency of needs:</t>
  </si>
  <si>
    <t>Relational orientation:</t>
  </si>
  <si>
    <t>Easement orientation:</t>
  </si>
  <si>
    <t>Ascribe responsibility:</t>
  </si>
  <si>
    <t>Express your needs:</t>
  </si>
  <si>
    <t>I always express my needs impacted by others of equal or less power.</t>
  </si>
  <si>
    <t>I see my needs as completely more important than the needs of others.</t>
  </si>
  <si>
    <t>I see my needs as mostly more important than the needs of others.</t>
  </si>
  <si>
    <t>I see my needs as equally important as the needs of others.</t>
  </si>
  <si>
    <t>I see my needs as mostly less important than the needs of others.</t>
  </si>
  <si>
    <t>I see my needs as completely less important than the needs of others.</t>
  </si>
  <si>
    <t>URGENCY OF NEEDS</t>
  </si>
  <si>
    <t>EXPRESS YOUR NEEDS</t>
  </si>
  <si>
    <t>RELATIONAL ORIENTATION</t>
  </si>
  <si>
    <t>EASEMENT ORIENTATION</t>
  </si>
  <si>
    <t>ASCRIBE RESPONSIBILITY</t>
  </si>
  <si>
    <t>Totally the responsibility of the individual.</t>
  </si>
  <si>
    <t>Mostly the responsibility of the individual.</t>
  </si>
  <si>
    <t>Equally an individual and societal responsibility.</t>
  </si>
  <si>
    <t>Mostly the responsibility of society.</t>
  </si>
  <si>
    <t>Totally the responsibility of society.</t>
  </si>
  <si>
    <t>I usually express my needs impacted by others of equal or less power</t>
  </si>
  <si>
    <t>About half the time, I express my needs impacted by others of equal or less power</t>
  </si>
  <si>
    <t>I rarely express my needs impacted by others of equal or less power</t>
  </si>
  <si>
    <t xml:space="preserve">I never express my needs impacted by others of equal or less power. </t>
  </si>
  <si>
    <t>I rely on generalizations all the time.</t>
  </si>
  <si>
    <t>I rely on generalizations most of the time.</t>
  </si>
  <si>
    <t>I generalize and get to specifics evenly.</t>
  </si>
  <si>
    <t>I mostly get to specifics in life.</t>
  </si>
  <si>
    <t>I always get to specifics in life.</t>
  </si>
  <si>
    <t>I rely pain relief all the time.</t>
  </si>
  <si>
    <t>I rely on pain relief most of the time.</t>
  </si>
  <si>
    <t>I remove pain and relieve pain evenly.</t>
  </si>
  <si>
    <t>I usually resolve needs to remove pain.</t>
  </si>
  <si>
    <t>I always resolve needs to remove pain.</t>
  </si>
  <si>
    <t>average</t>
  </si>
  <si>
    <t>start from scratch</t>
  </si>
  <si>
    <t>ideally suited</t>
  </si>
  <si>
    <t>slightly below average</t>
  </si>
  <si>
    <t>slightly above average</t>
  </si>
  <si>
    <t>strong start</t>
  </si>
  <si>
    <t>room for improvement</t>
  </si>
  <si>
    <t>come from behind</t>
  </si>
  <si>
    <t>you best start from scratch</t>
  </si>
  <si>
    <t>you can come from behind</t>
  </si>
  <si>
    <t>you are slightly below average</t>
  </si>
  <si>
    <t>you are slightly above average</t>
  </si>
  <si>
    <t>you can make strong start</t>
  </si>
  <si>
    <t>you are ideally suited</t>
  </si>
  <si>
    <t>you are about average</t>
  </si>
  <si>
    <t xml:space="preserve">Your responses suggest </t>
  </si>
  <si>
    <t xml:space="preserve">. This is based on an average score between -1 and 1, and your responses put you at </t>
  </si>
  <si>
    <t>Select the best response to these five items to estimate your readiness for this journey. A low score is not necessarily a bad score. Power relations crashing in on your life could dampen your full readiness. But that's what this journey is for.</t>
  </si>
  <si>
    <t xml:space="preserve">. Other qualifications may apply, and these could raise or lower your readiness score. </t>
  </si>
  <si>
    <t>Your journey support starts with a guide and advocate</t>
  </si>
  <si>
    <r>
      <t xml:space="preserve">You build support to back your </t>
    </r>
    <r>
      <rPr>
        <b/>
        <i/>
        <sz val="16"/>
        <color theme="1"/>
        <rFont val="Tahoma"/>
        <family val="2"/>
      </rPr>
      <t>campaign cause</t>
    </r>
  </si>
  <si>
    <t>Scientific</t>
  </si>
  <si>
    <t>pro-democratic</t>
  </si>
  <si>
    <t>pro-constitutional</t>
  </si>
  <si>
    <t>anti-constitutional</t>
  </si>
  <si>
    <t>Democratic</t>
  </si>
  <si>
    <t>Constitutional</t>
  </si>
  <si>
    <t>Wisdom</t>
  </si>
  <si>
    <t>Love</t>
  </si>
  <si>
    <t>Accountable</t>
  </si>
  <si>
    <t>Supportive</t>
  </si>
  <si>
    <t>non-constitutional</t>
  </si>
  <si>
    <t>AI undermines any input from those impacted by their actions, even if “pro-democratic” in word.</t>
  </si>
  <si>
    <t>celebrate it</t>
  </si>
  <si>
    <t>AI supports testing of need RKs for determining proper course of need impacting actions.</t>
  </si>
  <si>
    <t>AI remains unresponsive to suggestion to use RKs to measure need outcomes &amp; impacts.</t>
  </si>
  <si>
    <t>AI openly opposes RKs or other correlates to measure need outcomes &amp; impacts.</t>
  </si>
  <si>
    <t>pro-scientific</t>
  </si>
  <si>
    <t>non-scientific</t>
  </si>
  <si>
    <t>anti-scientific</t>
  </si>
  <si>
    <t>non-democratic</t>
  </si>
  <si>
    <t>anti-democratic</t>
  </si>
  <si>
    <t>pro-scriptural</t>
  </si>
  <si>
    <t>non-scriptural</t>
  </si>
  <si>
    <t>anti-scriptural</t>
  </si>
  <si>
    <t>pro-wisdom</t>
  </si>
  <si>
    <t>non-wisdom</t>
  </si>
  <si>
    <t>anti-wisdom</t>
  </si>
  <si>
    <t>pro-accountable</t>
  </si>
  <si>
    <t>non-accountable</t>
  </si>
  <si>
    <t>anti-accountable</t>
  </si>
  <si>
    <t>pro-supportive</t>
  </si>
  <si>
    <t>non-supportive</t>
  </si>
  <si>
    <t>anti-supportive</t>
  </si>
  <si>
    <t>pro-responsive</t>
  </si>
  <si>
    <t>non-responsive</t>
  </si>
  <si>
    <t>anti-responsive</t>
  </si>
  <si>
    <t>AI open to direct input from people impacted by their actions, beyond binary ballot options.</t>
  </si>
  <si>
    <t>AI open only to impersonal inputs of binary ballot options, avoiding direct accountability.</t>
  </si>
  <si>
    <t>AI accountably bases their actions in universal principles affirmed in foundational law.</t>
  </si>
  <si>
    <t>AI passively claims their actions are supported in foundational law.</t>
  </si>
  <si>
    <t>AI resists any accountability to universal principles in foundational law.</t>
  </si>
  <si>
    <t>AI actions accountably grounded in inspiring traditional wisdom others hold sacred.</t>
  </si>
  <si>
    <t>AI actions claim to be grounded in inspiring traditional wisdom others hold sacred.</t>
  </si>
  <si>
    <t>AI actions goes against inspiring traditional wisdom others hold sacred.</t>
  </si>
  <si>
    <t>AI’s actions accountably manifest universal principles for resolving needs responsibly.</t>
  </si>
  <si>
    <t>AI’s actions do not accountably manifest universal principles for resolving needs.</t>
  </si>
  <si>
    <t>AI’s actions go against universal principles for resolving needs responsibly.</t>
  </si>
  <si>
    <t>AI prioritizes the needs of others over their own, especially the needs of the most vulnerable.</t>
  </si>
  <si>
    <t>AI serves own needs in disregard to the needs of others, including the most vulnerably impacted.</t>
  </si>
  <si>
    <t>AI prioritizes own needs at other’s expense, and arrogantly exploitive of the most vulnerable.</t>
  </si>
  <si>
    <t>AI holds self directly accountable to others they impact.</t>
  </si>
  <si>
    <t xml:space="preserve">AI claims to be held accountable without proof. </t>
  </si>
  <si>
    <t>AI resists any effort to be held accountable by those they measurably impact.</t>
  </si>
  <si>
    <t xml:space="preserve">AI presents as ready, willing, and able to support RI’s cause to resolve needs mutually. </t>
  </si>
  <si>
    <t>AI claims to be supportive without proof.</t>
  </si>
  <si>
    <t>AI refuses to offer any support to RI’s cause to mutually resolve relevant needs.</t>
  </si>
  <si>
    <t>AI measurably responsive to the needs they impact.</t>
  </si>
  <si>
    <t>AI claims to be responsive without proof.</t>
  </si>
  <si>
    <t>AI counters contact attempts with threats, including threats of privileged legal action.</t>
  </si>
  <si>
    <t>The phases are geared to increase investments as you demonstrate your value.</t>
  </si>
  <si>
    <r>
      <rPr>
        <b/>
        <sz val="13"/>
        <color theme="1"/>
        <rFont val="Tahoma"/>
        <family val="2"/>
      </rPr>
      <t>AIM</t>
    </r>
    <r>
      <rPr>
        <sz val="13"/>
        <color theme="1"/>
        <rFont val="Tahoma"/>
        <family val="2"/>
      </rPr>
      <t>: To lay a solid foundation for for the success of your cause.</t>
    </r>
  </si>
  <si>
    <t>Failure to reach primary goal.</t>
  </si>
  <si>
    <t>Failure to launch</t>
  </si>
  <si>
    <t>Failure to attract sufficient number of supporters</t>
  </si>
  <si>
    <t>Failure to establish a minimal support amount</t>
  </si>
  <si>
    <t>Failure to attract any cosponsors</t>
  </si>
  <si>
    <t>Failure to build momentum</t>
  </si>
  <si>
    <t>Failure to sustain momentum</t>
  </si>
  <si>
    <t>Failure to attract patrons</t>
  </si>
  <si>
    <t>Failure to effect change</t>
  </si>
  <si>
    <t>Failure to retain enough cosponsors</t>
  </si>
  <si>
    <t>Failure to retain enough supporters</t>
  </si>
  <si>
    <t>Failure to replace attrition of cosponsors</t>
  </si>
  <si>
    <t>Failure to replace attrition of supporters</t>
  </si>
  <si>
    <t>Failure to attract views of your inaugeral video</t>
  </si>
  <si>
    <r>
      <rPr>
        <b/>
        <sz val="13"/>
        <color theme="1"/>
        <rFont val="Tahoma"/>
        <family val="2"/>
      </rPr>
      <t>AIM</t>
    </r>
    <r>
      <rPr>
        <sz val="13"/>
        <color theme="1"/>
        <rFont val="Tahoma"/>
        <family val="2"/>
      </rPr>
      <t>: To step out boldy into this new frontier of speaking truth to power.</t>
    </r>
  </si>
  <si>
    <t>addiction</t>
  </si>
  <si>
    <t>depression</t>
  </si>
  <si>
    <t>empower</t>
  </si>
  <si>
    <t>addiction list</t>
  </si>
  <si>
    <t>anxiety list</t>
  </si>
  <si>
    <t>depression symptoms</t>
  </si>
  <si>
    <t>empowerment list</t>
  </si>
  <si>
    <t>alcohol</t>
  </si>
  <si>
    <t>approval</t>
  </si>
  <si>
    <t>doomscrolling</t>
  </si>
  <si>
    <t>drugs</t>
  </si>
  <si>
    <t>junk food</t>
  </si>
  <si>
    <t>perfectionism</t>
  </si>
  <si>
    <t>pornography</t>
  </si>
  <si>
    <t>religiosity</t>
  </si>
  <si>
    <t>self-harm</t>
  </si>
  <si>
    <t>sex</t>
  </si>
  <si>
    <t>social media</t>
  </si>
  <si>
    <t>weight loss</t>
  </si>
  <si>
    <t>being abducted</t>
  </si>
  <si>
    <t>being arrested</t>
  </si>
  <si>
    <t>being falsely accused</t>
  </si>
  <si>
    <t>being overweight</t>
  </si>
  <si>
    <t>being smothered</t>
  </si>
  <si>
    <t>being unattractive</t>
  </si>
  <si>
    <t xml:space="preserve">exposing my secrets </t>
  </si>
  <si>
    <t>getting into an accident</t>
  </si>
  <si>
    <t>losing my family</t>
  </si>
  <si>
    <t>losing my job</t>
  </si>
  <si>
    <t>abilities</t>
  </si>
  <si>
    <t>capacity for kindness</t>
  </si>
  <si>
    <t>connectedness</t>
  </si>
  <si>
    <t>decisiveness</t>
  </si>
  <si>
    <t>personal efficacy</t>
  </si>
  <si>
    <t>positive self-image</t>
  </si>
  <si>
    <t>self-control</t>
  </si>
  <si>
    <t>social worth</t>
  </si>
  <si>
    <t>value to others</t>
  </si>
  <si>
    <t>appetite changes</t>
  </si>
  <si>
    <t>excessive guilt</t>
  </si>
  <si>
    <t>excessive worrying</t>
  </si>
  <si>
    <t>fatigue</t>
  </si>
  <si>
    <t>feeling isolated</t>
  </si>
  <si>
    <t>feeling restless</t>
  </si>
  <si>
    <t>feeling worthless</t>
  </si>
  <si>
    <t>hopelessness</t>
  </si>
  <si>
    <t>irritability</t>
  </si>
  <si>
    <t>lost concentration</t>
  </si>
  <si>
    <t>lost interest in pleasure</t>
  </si>
  <si>
    <t>mood swings</t>
  </si>
  <si>
    <t>muscle tension</t>
  </si>
  <si>
    <t>persistent sadness</t>
  </si>
  <si>
    <t>reckless behavior</t>
  </si>
  <si>
    <t>self-loathing</t>
  </si>
  <si>
    <t>sleeplessness</t>
  </si>
  <si>
    <t>suicidal thoughts</t>
  </si>
  <si>
    <t xml:space="preserve">This week, I received my first reply from one of the political leaders I contacted. It was encouraging. The more I speak truth to power, the more I find my addiction to </t>
  </si>
  <si>
    <t xml:space="preserve"> has less of a hold on me. My intense fear of </t>
  </si>
  <si>
    <t xml:space="preserve"> also subsides. Now that I feel more empowered over my life, I no longer suffer as much from </t>
  </si>
  <si>
    <t xml:space="preserve">. I can rely less on political generalizing, to address each other’s specific </t>
  </si>
  <si>
    <t>prematurely dying</t>
  </si>
  <si>
    <t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t>
  </si>
  <si>
    <t>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t>
  </si>
  <si>
    <t xml:space="preserve">As for anxiety, I started with a BAI score of 23. I am now down to 11. As for depression, I started with a BDI score of 26. I am now down to 12. As for hopelessness, I started with a BHI score of 19. I am now down to 8. So far, I ascribe the bulk of such improvement to feeling empowered. Thanks to your support, I now have a better sense of my </t>
  </si>
  <si>
    <r>
      <rPr>
        <b/>
        <sz val="13"/>
        <color theme="1"/>
        <rFont val="Tahoma"/>
        <family val="2"/>
      </rPr>
      <t>AIM</t>
    </r>
    <r>
      <rPr>
        <sz val="13"/>
        <color theme="1"/>
        <rFont val="Tahoma"/>
        <family val="2"/>
      </rPr>
      <t>: To draw increasing support for mutually resolving politicized needs.</t>
    </r>
  </si>
  <si>
    <r>
      <rPr>
        <b/>
        <sz val="13"/>
        <color theme="1"/>
        <rFont val="Tahoma"/>
        <family val="2"/>
      </rPr>
      <t>AIM</t>
    </r>
    <r>
      <rPr>
        <sz val="13"/>
        <color theme="1"/>
        <rFont val="Tahoma"/>
        <family val="2"/>
      </rPr>
      <t>: To convince political actors of your support to resolve politicized needs.</t>
    </r>
  </si>
  <si>
    <r>
      <rPr>
        <b/>
        <sz val="12"/>
        <color theme="1"/>
        <rFont val="Tahoma"/>
        <family val="2"/>
      </rPr>
      <t>Your conciliatory options</t>
    </r>
    <r>
      <rPr>
        <sz val="12"/>
        <color theme="1"/>
        <rFont val="Tahoma"/>
        <family val="2"/>
      </rPr>
      <t>: What you can do together to resolve the affected needs.</t>
    </r>
  </si>
  <si>
    <r>
      <rPr>
        <b/>
        <sz val="12"/>
        <color theme="1"/>
        <rFont val="Tahoma"/>
        <family val="2"/>
      </rPr>
      <t>Your adversarial options</t>
    </r>
    <r>
      <rPr>
        <sz val="12"/>
        <color theme="1"/>
        <rFont val="Tahoma"/>
        <family val="2"/>
      </rPr>
      <t>: What you can do to ease or stop the mounting pain.</t>
    </r>
  </si>
  <si>
    <r>
      <rPr>
        <b/>
        <sz val="12"/>
        <color theme="1"/>
        <rFont val="Tahoma"/>
        <family val="2"/>
      </rPr>
      <t>Your avoidant options</t>
    </r>
    <r>
      <rPr>
        <sz val="12"/>
        <color theme="1"/>
        <rFont val="Tahoma"/>
        <family val="2"/>
      </rPr>
      <t>: What you do to try to avoid further pain from power relations.</t>
    </r>
  </si>
  <si>
    <t>elected official</t>
  </si>
  <si>
    <t>Be excited to be part of this game changing plan</t>
  </si>
  <si>
    <t>Who:</t>
  </si>
  <si>
    <t>Reply:</t>
  </si>
  <si>
    <t>Disregard me as some nut</t>
  </si>
  <si>
    <t>Ignore me as irrelevant</t>
  </si>
  <si>
    <t>Reply politely to try to shut me up</t>
  </si>
  <si>
    <t>Tell me they don’t handle such inquiries</t>
  </si>
  <si>
    <t>Tell me they will have to get back to me</t>
  </si>
  <si>
    <t>Get right back to me with investment in hand</t>
  </si>
  <si>
    <t>Unlikely. But if so, pass on them. There are more fish in this sea.</t>
  </si>
  <si>
    <t xml:space="preserve">Life is busy. After three attempts, mark as unresponsive and move on. </t>
  </si>
  <si>
    <t>Unlikely. If not a subscriber, they may not respond. Give ‘em a reason.</t>
  </si>
  <si>
    <t>Know their audience and pain points. Ask them what they need.</t>
  </si>
  <si>
    <t>Hold them to their word. Tell them you will move on if not heard soon.</t>
  </si>
  <si>
    <t>Great! Keep in touch. Check if their enthusiasm has roots.</t>
  </si>
  <si>
    <t>Amazing! Put them at the top of your list. You’re onto something.</t>
  </si>
  <si>
    <t>They may redirect you to some other government agency.</t>
  </si>
  <si>
    <t>You could get lost in the bureaucratic shuffle. They again, and again.</t>
  </si>
  <si>
    <t>You may get a form letter response. Try again, then move on.</t>
  </si>
  <si>
    <t>Then have them refer you to an agency or nonprofit that does.</t>
  </si>
  <si>
    <t xml:space="preserve">Hold them accountable. Follow up in a few days. </t>
  </si>
  <si>
    <t>They likely will mention all the restrictions they are under.</t>
  </si>
  <si>
    <t xml:space="preserve">Personally they might. If their institution let them act on their own. </t>
  </si>
  <si>
    <t>JOURNALIST</t>
  </si>
  <si>
    <t>PUBLIC SERVANT</t>
  </si>
  <si>
    <t>ELECTED OFFICIAL</t>
  </si>
  <si>
    <t>They risk political damage if they disregard you.</t>
  </si>
  <si>
    <t>If you don’t mention you’re in their voting district, they just might.</t>
  </si>
  <si>
    <t>If you are in their voting district, they will inevitably respond.</t>
  </si>
  <si>
    <t>They may forward you to the proper agency, even if not really helpful.</t>
  </si>
  <si>
    <t>If you’re in their voting district, you can count on a follow-up.</t>
  </si>
  <si>
    <t>If you nailed their pain points, they just might show some excitement.</t>
  </si>
  <si>
    <t>Unlikely without plenty of effort from you and your team.</t>
  </si>
  <si>
    <t>Journalist</t>
  </si>
  <si>
    <t>Public servant</t>
  </si>
  <si>
    <t>Elected official</t>
  </si>
  <si>
    <t xml:space="preserve"> The point here is to being responsive to their needs. Along the way, we assess their responsiveness to your impacted needs. We rate their legitimacy. We grab the power.</t>
  </si>
  <si>
    <t xml:space="preserve">In the above white field on the left, select Impactor type. Then select a possible reply in the dropdown list to its right. You grow when you can freely speak the truth of your needs to such power.
</t>
  </si>
  <si>
    <t>avoidant options</t>
  </si>
  <si>
    <t>adversarial options</t>
  </si>
  <si>
    <t>conciliatory options</t>
  </si>
  <si>
    <t>accept being overwhelmed</t>
  </si>
  <si>
    <t>acquiesce to demands of power</t>
  </si>
  <si>
    <t>blame oneself for everything</t>
  </si>
  <si>
    <t>cope with addictive items</t>
  </si>
  <si>
    <t>catastrophize</t>
  </si>
  <si>
    <t>endure increasing anxiety</t>
  </si>
  <si>
    <t>give into other forms of violence</t>
  </si>
  <si>
    <t>lapse into dysfunctional behaviors</t>
  </si>
  <si>
    <t>lose further efficacy</t>
  </si>
  <si>
    <t>obsess on extremes</t>
  </si>
  <si>
    <t>slip into hopelessness</t>
  </si>
  <si>
    <t>suffer deeper levels of depression</t>
  </si>
  <si>
    <t>suffer mental health issues</t>
  </si>
  <si>
    <t>withdraw from social life</t>
  </si>
  <si>
    <t>question best practices</t>
  </si>
  <si>
    <t>question industry standards</t>
  </si>
  <si>
    <t>challenge if following professional ethics</t>
  </si>
  <si>
    <t>publicly denounce unresponsiveness</t>
  </si>
  <si>
    <t>launch critical media campaign</t>
  </si>
  <si>
    <t>“confront revenue sources”</t>
  </si>
  <si>
    <t>admit all needs sit equal before nature</t>
  </si>
  <si>
    <t>admit resolving needs removes its pain</t>
  </si>
  <si>
    <t>recognize damage from avoidance</t>
  </si>
  <si>
    <t>reverse any harmful trends</t>
  </si>
  <si>
    <t>cease coercive power</t>
  </si>
  <si>
    <t>replace legal pressure with knowing needs</t>
  </si>
  <si>
    <t>waive adversarial options</t>
  </si>
  <si>
    <t>replace hostilities with understanding</t>
  </si>
  <si>
    <t>identify each other’s affected needs</t>
  </si>
  <si>
    <t>envision mutual benefits</t>
  </si>
  <si>
    <t>shift from generalizing to specifics</t>
  </si>
  <si>
    <t>shift from relief to resolving needs</t>
  </si>
  <si>
    <t>mutually commit to resolve needs</t>
  </si>
  <si>
    <t>invest in better outcomes</t>
  </si>
  <si>
    <t>invest in positive impacts</t>
  </si>
  <si>
    <t>You typically opt for avoidance unconsciously. This process illuminates those options, to compel Impactors to realize the consequences of their coercive influence.</t>
  </si>
  <si>
    <t>Your adversarial options likely erupt when you must stop the mounting pain. These can give you leverage. Impactors will likely prefer any conciliatory options you can offer.</t>
  </si>
  <si>
    <t>You leverge your conciliatory options as preferable to your avoidant and adversrial options. You both agree to address each other's affected needs for each to get beyond the pain.</t>
  </si>
  <si>
    <t>compromise your health further</t>
  </si>
  <si>
    <t>experience absenteeism</t>
  </si>
  <si>
    <t>experience presenteeism</t>
  </si>
  <si>
    <t>resort to retail therapy</t>
  </si>
  <si>
    <t>wonder about killing yourself</t>
  </si>
  <si>
    <t>suppress your own doubts and fears</t>
  </si>
  <si>
    <t>“noncooperate strategically”</t>
  </si>
  <si>
    <t>“vilify publicly”</t>
  </si>
  <si>
    <t>“ostracize comprehensively”</t>
  </si>
  <si>
    <t>“avow mortification”</t>
  </si>
  <si>
    <t xml:space="preserve">If you continue to </t>
  </si>
  <si>
    <t xml:space="preserve">, you will find it next to impossible to resolve needs. By speaking truth to power, you break the spell of such avoidance. </t>
  </si>
  <si>
    <t xml:space="preserve">If you let yourself </t>
  </si>
  <si>
    <t xml:space="preserve"> to ease the pain, you risk damaging your chance to resolve your power impacted needs. Let's conciliate instead.</t>
  </si>
  <si>
    <t xml:space="preserve">Power isn't really power unless it resolves needs. Otherwise it's just coercive force.  As you both </t>
  </si>
  <si>
    <t>, you draw closer to your campaign goal.</t>
  </si>
  <si>
    <t>You reach your campaign goal when replacing avoidant and adversarial options with love.</t>
  </si>
  <si>
    <t>Reaching your goal is only the beginning. We explore other stages to continue your journey.</t>
  </si>
  <si>
    <r>
      <t xml:space="preserve">As your campaign builds momentum, you raise revenue to pursue your </t>
    </r>
    <r>
      <rPr>
        <i/>
        <sz val="13"/>
        <color theme="1"/>
        <rFont val="Tahoma"/>
        <family val="2"/>
      </rPr>
      <t>cause</t>
    </r>
    <r>
      <rPr>
        <sz val="13"/>
        <color theme="1"/>
        <rFont val="Tahoma"/>
        <family val="2"/>
      </rPr>
      <t>.</t>
    </r>
  </si>
  <si>
    <t>Positive invite</t>
  </si>
  <si>
    <t>Negatives</t>
  </si>
  <si>
    <t>Positive mutuality</t>
  </si>
  <si>
    <t>SOCIAL CAPITAL</t>
  </si>
  <si>
    <t>COUNSELOR</t>
  </si>
  <si>
    <t>JOURNALISTS</t>
  </si>
  <si>
    <t>PUBLIC SERVANTS</t>
  </si>
  <si>
    <t>P</t>
  </si>
  <si>
    <t>N</t>
  </si>
  <si>
    <t>supporter prospects</t>
  </si>
  <si>
    <t>impactful journalists</t>
  </si>
  <si>
    <t>impactfuly public servants</t>
  </si>
  <si>
    <t>impactful elected officials</t>
  </si>
  <si>
    <t>NEGATIVE</t>
  </si>
  <si>
    <t>to advocate</t>
  </si>
  <si>
    <t>to guide</t>
  </si>
  <si>
    <t>CC</t>
  </si>
  <si>
    <t>lock tax liability into escrow</t>
  </si>
  <si>
    <t>Along the way, you put your need-resolving value into marketable demand.</t>
  </si>
  <si>
    <t>How far this continues, and the length of each phase, depends on the needs of each campaign.</t>
  </si>
  <si>
    <t>This illustrates a rough estimate of weekly raised revenue. Yours may look different.</t>
  </si>
  <si>
    <r>
      <t xml:space="preserve">Relating Terms of </t>
    </r>
    <r>
      <rPr>
        <b/>
        <sz val="16"/>
        <color rgb="FFA5FFC8"/>
        <rFont val="Tahoma"/>
        <family val="2"/>
      </rPr>
      <t>Interaction</t>
    </r>
  </si>
  <si>
    <r>
      <t xml:space="preserve">Relating Terms of </t>
    </r>
    <r>
      <rPr>
        <b/>
        <sz val="16"/>
        <color rgb="FFA5FFC8"/>
        <rFont val="Tahoma"/>
        <family val="2"/>
      </rPr>
      <t>Exchange</t>
    </r>
  </si>
  <si>
    <r>
      <t xml:space="preserve">Relating Terms of </t>
    </r>
    <r>
      <rPr>
        <b/>
        <sz val="16"/>
        <color rgb="FFA5FFC8"/>
        <rFont val="Tahoma"/>
        <family val="2"/>
      </rPr>
      <t>Engagement</t>
    </r>
  </si>
  <si>
    <r>
      <t xml:space="preserve">Relating Terms of </t>
    </r>
    <r>
      <rPr>
        <b/>
        <sz val="16"/>
        <color rgb="FFA5FFC8"/>
        <rFont val="Tahoma"/>
        <family val="2"/>
      </rPr>
      <t>Results</t>
    </r>
  </si>
  <si>
    <r>
      <t xml:space="preserve">Relating Terms of </t>
    </r>
    <r>
      <rPr>
        <b/>
        <sz val="16"/>
        <color rgb="FFA5FFC8"/>
        <rFont val="Tahoma"/>
        <family val="2"/>
      </rPr>
      <t>Use</t>
    </r>
  </si>
  <si>
    <t>Your tone is cordial. You invite them to see through the lens of anankelogy, the study of needs.</t>
  </si>
  <si>
    <t>Your tone turns insistant. Urgency rises. Your on the move. You introduce them to need-response.</t>
  </si>
  <si>
    <t>litigate</t>
  </si>
  <si>
    <t>file complaint with reputation orgs</t>
  </si>
  <si>
    <t>exhaust all due process rights</t>
  </si>
  <si>
    <t>Resolution phase</t>
  </si>
  <si>
    <t>Prep phase</t>
  </si>
  <si>
    <t>FIT 1: Your personal readiness</t>
  </si>
  <si>
    <t>FIT 2: Your support potential</t>
  </si>
  <si>
    <t>FIT 3: Your responsive impactors</t>
  </si>
  <si>
    <t>G Sponsors</t>
  </si>
  <si>
    <t>L Sponsors</t>
  </si>
  <si>
    <t>indirect</t>
  </si>
  <si>
    <t>POSITIVE</t>
  </si>
  <si>
    <t>Prep phase example</t>
  </si>
  <si>
    <t xml:space="preserve">Base phase </t>
  </si>
  <si>
    <t>Enterprise phase</t>
  </si>
  <si>
    <t>Base phase example</t>
  </si>
  <si>
    <t>Launch phase example</t>
  </si>
  <si>
    <t>Growth phase example</t>
  </si>
  <si>
    <t>Resolution phase example</t>
  </si>
  <si>
    <t>Enterprise phase example</t>
  </si>
  <si>
    <t>So far, we value each other in this relationship.</t>
  </si>
  <si>
    <t>Impersonal laws fail to serve our relationship’s full potential.</t>
  </si>
  <si>
    <t>Need-response can resolve more of our mutually affected needs.</t>
  </si>
  <si>
    <t>Select a phase:</t>
  </si>
  <si>
    <t>Our interactions create value for each other, for our needs.</t>
  </si>
  <si>
    <t>Power relations favor the needs of the powerful over the powerless.</t>
  </si>
  <si>
    <t>The needs of the powerful and powerless are set on equal footing.</t>
  </si>
  <si>
    <t>We could do more for each other.</t>
  </si>
  <si>
    <t>The powerless risks great loss when speaking truth to power.</t>
  </si>
  <si>
    <t>Both sides can learn how to better serve each other.</t>
  </si>
  <si>
    <t>The more we resolve needs, the better our relation shall be.</t>
  </si>
  <si>
    <t>Without a commitment to resolve needs, the relation must end.</t>
  </si>
  <si>
    <t>The powerless avows to resolve needs unilaterally.</t>
  </si>
  <si>
    <t>Resolving needs creates more value than the prior status quo.</t>
  </si>
  <si>
    <t>Only respect for resolving affected needs shall be honored.</t>
  </si>
  <si>
    <t>Relations continue on foundation of mutually respected needs.</t>
  </si>
  <si>
    <t>ASSESS</t>
  </si>
  <si>
    <t>AUDIT</t>
  </si>
  <si>
    <t>AVOW</t>
  </si>
  <si>
    <t>ACCLAIM</t>
  </si>
  <si>
    <t>Exchange</t>
  </si>
  <si>
    <t>Engage</t>
  </si>
  <si>
    <t>Results</t>
  </si>
  <si>
    <t>Use</t>
  </si>
  <si>
    <t>Interact</t>
  </si>
  <si>
    <t>ANNOUNCE</t>
  </si>
  <si>
    <t>prep</t>
  </si>
  <si>
    <t>base</t>
  </si>
  <si>
    <t>launch</t>
  </si>
  <si>
    <t>resolution</t>
  </si>
  <si>
    <t>growth</t>
  </si>
  <si>
    <r>
      <t xml:space="preserve">At the </t>
    </r>
    <r>
      <rPr>
        <b/>
        <sz val="12"/>
        <color theme="1"/>
        <rFont val="Cambria"/>
        <family val="1"/>
      </rPr>
      <t>prep phase</t>
    </r>
    <r>
      <rPr>
        <sz val="12"/>
        <color theme="1"/>
        <rFont val="Cambria"/>
        <family val="1"/>
      </rPr>
      <t xml:space="preserve">, you </t>
    </r>
    <r>
      <rPr>
        <b/>
        <sz val="12"/>
        <color theme="1"/>
        <rFont val="Cambria"/>
        <family val="1"/>
      </rPr>
      <t>ANNOUNCE</t>
    </r>
    <r>
      <rPr>
        <sz val="12"/>
        <color theme="1"/>
        <rFont val="Cambria"/>
        <family val="1"/>
      </rPr>
      <t xml:space="preserve"> your intentions to resolve a politicized need. Your tone is cordial. You invite them to see through the lens of anankelogy, the study of needs.</t>
    </r>
  </si>
  <si>
    <r>
      <t xml:space="preserve">At the </t>
    </r>
    <r>
      <rPr>
        <b/>
        <sz val="12"/>
        <color theme="1"/>
        <rFont val="Cambria"/>
        <family val="1"/>
      </rPr>
      <t>launch phase</t>
    </r>
    <r>
      <rPr>
        <sz val="12"/>
        <color theme="1"/>
        <rFont val="Cambria"/>
        <family val="1"/>
      </rPr>
      <t xml:space="preserve">, you </t>
    </r>
    <r>
      <rPr>
        <b/>
        <sz val="12"/>
        <color theme="1"/>
        <rFont val="Cambria"/>
        <family val="1"/>
      </rPr>
      <t>AUDIT</t>
    </r>
    <r>
      <rPr>
        <sz val="12"/>
        <color theme="1"/>
        <rFont val="Cambria"/>
        <family val="1"/>
      </rPr>
      <t xml:space="preserve"> responsiveness to all kinds of affected needs. Your tone is engaging. You leverage your proactive value.</t>
    </r>
  </si>
  <si>
    <r>
      <t xml:space="preserve">At the </t>
    </r>
    <r>
      <rPr>
        <b/>
        <sz val="12"/>
        <color theme="1"/>
        <rFont val="Cambria"/>
        <family val="1"/>
      </rPr>
      <t>growth phase</t>
    </r>
    <r>
      <rPr>
        <sz val="12"/>
        <color theme="1"/>
        <rFont val="Cambria"/>
        <family val="1"/>
      </rPr>
      <t xml:space="preserve">, you </t>
    </r>
    <r>
      <rPr>
        <b/>
        <sz val="12"/>
        <color theme="1"/>
        <rFont val="Cambria"/>
        <family val="1"/>
      </rPr>
      <t>AVOW</t>
    </r>
    <r>
      <rPr>
        <sz val="12"/>
        <color theme="1"/>
        <rFont val="Cambria"/>
        <family val="1"/>
      </rPr>
      <t xml:space="preserve"> to resolve needs mutually or unilaterally. Your tone is now declarative. They had their chance to get on board. </t>
    </r>
  </si>
  <si>
    <r>
      <t xml:space="preserve">"I publicly declare myself as </t>
    </r>
    <r>
      <rPr>
        <b/>
        <i/>
        <sz val="13"/>
        <color theme="1"/>
        <rFont val="Tahoma"/>
        <family val="2"/>
      </rPr>
      <t>need-responsive</t>
    </r>
    <r>
      <rPr>
        <b/>
        <sz val="13"/>
        <color theme="1"/>
        <rFont val="Tahoma"/>
        <family val="2"/>
      </rPr>
      <t>."</t>
    </r>
  </si>
  <si>
    <t>Cause phase</t>
  </si>
  <si>
    <t>Defunction</t>
  </si>
  <si>
    <t>RI 1</t>
  </si>
  <si>
    <t>AI 1</t>
  </si>
  <si>
    <t>RI 2</t>
  </si>
  <si>
    <t>RI 4</t>
  </si>
  <si>
    <t>RI 5</t>
  </si>
  <si>
    <t>AI 2</t>
  </si>
  <si>
    <t>AI 3</t>
  </si>
  <si>
    <t>AI 4</t>
  </si>
  <si>
    <t>Coercion cost</t>
  </si>
  <si>
    <t>Item</t>
  </si>
  <si>
    <t>Calc amt</t>
  </si>
  <si>
    <t>Sub</t>
  </si>
  <si>
    <t>Net</t>
  </si>
  <si>
    <t>Unit price</t>
  </si>
  <si>
    <t>value to solve problem by nimbly solving specific needs affected</t>
  </si>
  <si>
    <t>Date of impact:</t>
  </si>
  <si>
    <t>Date of reply:</t>
  </si>
  <si>
    <t>Date of birth:</t>
  </si>
  <si>
    <t>Passion level:</t>
  </si>
  <si>
    <t>Base qty:</t>
  </si>
  <si>
    <t>Quantity</t>
  </si>
  <si>
    <t>none</t>
  </si>
  <si>
    <t>existential</t>
  </si>
  <si>
    <t>Base price:</t>
  </si>
  <si>
    <t xml:space="preserve"> years</t>
  </si>
  <si>
    <t xml:space="preserve"> year</t>
  </si>
  <si>
    <t xml:space="preserve">AI 3: Reaction </t>
  </si>
  <si>
    <t xml:space="preserve">AI 1: Impact </t>
  </si>
  <si>
    <t>AI 2: Linkage</t>
  </si>
  <si>
    <t>AI 4: Engaging</t>
  </si>
  <si>
    <t>peripheral impact</t>
  </si>
  <si>
    <t>direct impact</t>
  </si>
  <si>
    <t>indirect impact</t>
  </si>
  <si>
    <t>unknown</t>
  </si>
  <si>
    <t>resists</t>
  </si>
  <si>
    <t>cautiously agrees</t>
  </si>
  <si>
    <t>enthusiastic</t>
  </si>
  <si>
    <t>hesitant</t>
  </si>
  <si>
    <t>hostile</t>
  </si>
  <si>
    <t>RI 1: Anxiety</t>
  </si>
  <si>
    <t>RI 2: Depression</t>
  </si>
  <si>
    <t>RI 3: Addiction</t>
  </si>
  <si>
    <t>RI 4: Anger</t>
  </si>
  <si>
    <t>RI 5: Hopelessness</t>
  </si>
  <si>
    <t>structural exaction</t>
  </si>
  <si>
    <t>nonaccountable influence</t>
  </si>
  <si>
    <t>privileged coercive power</t>
  </si>
  <si>
    <t>rationalized systemic failure</t>
  </si>
  <si>
    <t>mass institution mission creep</t>
  </si>
  <si>
    <t>imposing authority</t>
  </si>
  <si>
    <t>no anxiety</t>
  </si>
  <si>
    <t>low anxiety</t>
  </si>
  <si>
    <t>moderate anxiety</t>
  </si>
  <si>
    <t>severe anxiety</t>
  </si>
  <si>
    <t>no depression</t>
  </si>
  <si>
    <t>low depression</t>
  </si>
  <si>
    <t>moderate depression</t>
  </si>
  <si>
    <t>severe depression</t>
  </si>
  <si>
    <t>major depression</t>
  </si>
  <si>
    <t>no anger</t>
  </si>
  <si>
    <t>mild irritation</t>
  </si>
  <si>
    <t>moderate irritation</t>
  </si>
  <si>
    <t>constant anger</t>
  </si>
  <si>
    <t>overwhelming rage</t>
  </si>
  <si>
    <t>no addiction</t>
  </si>
  <si>
    <t>first use</t>
  </si>
  <si>
    <t>regular use</t>
  </si>
  <si>
    <t>risky use</t>
  </si>
  <si>
    <t>dependency</t>
  </si>
  <si>
    <t>full addiction</t>
  </si>
  <si>
    <t>no hopelessness</t>
  </si>
  <si>
    <t>mild hopelessness</t>
  </si>
  <si>
    <t>moderate hopelessness</t>
  </si>
  <si>
    <t>severe hopelessness</t>
  </si>
  <si>
    <t>Adjustments</t>
  </si>
  <si>
    <t>With recipient's cooperation, no amount is directly billed.</t>
  </si>
  <si>
    <t>Without recipient's cooperation, this billed amount stands.</t>
  </si>
  <si>
    <t>Net total to illuminate costs of coercive power relations.</t>
  </si>
  <si>
    <t>To avoid any conflict of interest, the recipient cannot sponsor the need-resolving cause. But this recipient who directly impacts the sender is invited to invest in the cause as a patron. And must outbid others to be lead investor.</t>
  </si>
  <si>
    <t>The recipient can sponsor the sender's need-resolving cause. Or become a patron to the cause. Each recipient outbids the others to earn the privilege as lead investor. The leading patron must qualify for competitive legitimacy.</t>
  </si>
  <si>
    <t>This is not a literal invoice. It sybolically bills powerholders in power relations (i.e., ascribed impactors) to illuminate the hidden costs of coercive power. They receive the value of vital data for improving their impact on vulnerable others.</t>
  </si>
  <si>
    <t>Consider how much you are truly worth, and make sure powerholders know it.</t>
  </si>
  <si>
    <t>panic</t>
  </si>
  <si>
    <t xml:space="preserve">I, the sending Reporting Impactee, verify the accuracy of this invoice to the best of my knowledge. I do not expect to ever receive the billed amount, but to demonstrate the value I am coerced to forfeit to another who has some power over me. </t>
  </si>
  <si>
    <t>I agree</t>
  </si>
  <si>
    <t>I disagree</t>
  </si>
  <si>
    <t>READY TO SEND</t>
  </si>
  <si>
    <t>select to proceed</t>
  </si>
  <si>
    <t>totally helpless</t>
  </si>
  <si>
    <t>Enter any prior payment or RI-decided discounted amount.</t>
  </si>
  <si>
    <t>Without the sender's informed agreement, this invoice cannot be sent to the identified recipient. We can work on any point of disagreement for the sender to confidently send this invoice to the Ascribed Impactor, to further this conciliatory process.</t>
  </si>
  <si>
    <t>EXACTION INVOICE</t>
  </si>
  <si>
    <t>to illuminate the hidden costs of coercive power</t>
  </si>
  <si>
    <t>Legitimacy Quality</t>
  </si>
  <si>
    <t>Exaction Invoice</t>
  </si>
  <si>
    <t>Why is anyone in any power over you? Do they earn that privilege?</t>
  </si>
  <si>
    <t>MESSAGE SENT TO IMPACTOR AFTER AGREEMENT AMONG SUPPORTERS</t>
  </si>
  <si>
    <t>Based on our assessment, you are recognized as an</t>
  </si>
  <si>
    <t>You demonstrate a conciliatory responsiveness to most needs impacted in this power relation. Your leadership is inspiring. We invite you to follow our campaign to improve areas showing room for improvement. We can audit you again to publicly recognize your improvements.</t>
  </si>
  <si>
    <t>R.S.V.P.</t>
  </si>
  <si>
    <t>Based on our assessment, you are recognized as a</t>
  </si>
  <si>
    <t>certified impact:</t>
  </si>
  <si>
    <t xml:space="preserve">qualified impactor: 
</t>
  </si>
  <si>
    <t>adequate legitimacy:</t>
  </si>
  <si>
    <t>unqualified impactor:</t>
  </si>
  <si>
    <t>disqualified impactor:</t>
  </si>
  <si>
    <t>You demonstrate a conciliatory responsiveness to all needs you impact in this power relation. Your leadership is examplary. We invite you to follow our campaign to mutually resolve needs you are found to impact. We are starting a new way to improve lives with you, or without you.</t>
  </si>
  <si>
    <t>You demonstrate a conciliatory responsiveness to about half the needs you powerfully impact. Your leadership is mediocre. We invite you to follow our campaign to improve areas showing room for improvement. We can audit you again to publicly recognize your improvements.</t>
  </si>
  <si>
    <t>You demonstrate conciliatory responsiveness to a few needs you impact in this power relation. We find you complicit with our poor outcomes. We can help you improve your responsiveness to the needs you impact. Then we can  audit you again to publicly recognize your improvements.</t>
  </si>
  <si>
    <t>You fail to demonstrate a conciliatory responsiveness to any needs you impact in this relation. We challenge your legitimacy to impact us at all. We can help you improve your responsiveness to the needs you impact. Then we can  audit you again to publicly recognize your improvements.</t>
  </si>
  <si>
    <t>legitimacy.</t>
  </si>
  <si>
    <t>Fill all fields above to assess impactor's level of</t>
  </si>
  <si>
    <t>BY HONESTLY ASSESSING THE POWERHOLDER'S IMPACT, YOU GIVE THEM DIRECT FEEDBACK THEY RARELY RECEIVE. YOU PROVIDE A CONCILIATORY PROCESS TO IMPROVE THEIR IMPACT. YOU INCENTIVIZE THEM TO SUPPORT YOUR MUTUALLY BENEFICIAL CAUSE.</t>
  </si>
  <si>
    <t>improve it</t>
  </si>
  <si>
    <t>let's fix it</t>
  </si>
  <si>
    <t>Inspirational</t>
  </si>
  <si>
    <t>fellow powerless family and friends</t>
  </si>
  <si>
    <t>indirect or peripheral impactors</t>
  </si>
  <si>
    <t xml:space="preserve">direct impactor(s) on </t>
  </si>
  <si>
    <t>follower</t>
  </si>
  <si>
    <r>
      <t xml:space="preserve">WELCOME to </t>
    </r>
    <r>
      <rPr>
        <b/>
        <sz val="11"/>
        <color theme="1"/>
        <rFont val="Cambria"/>
        <family val="1"/>
      </rPr>
      <t>Advocacy Support</t>
    </r>
    <r>
      <rPr>
        <sz val="11"/>
        <color theme="1"/>
        <rFont val="Cambria"/>
        <family val="1"/>
      </rPr>
      <t xml:space="preserve">, a new kind of service for empowering the powerless to speak truth to power. This is unlike anything you have ever seen. Together, we cut past political noise to address our overlooked needs with pioneering mutual respect.
</t>
    </r>
  </si>
  <si>
    <t xml:space="preserve">We recognize the enemy is not each other of different political views, but political divisiveness itself. We build a bridge of love to address each other’s specific </t>
  </si>
  <si>
    <t>-related needs. Including yours.</t>
  </si>
  <si>
    <t xml:space="preserve">I invite you to join my campaign to resolve </t>
  </si>
  <si>
    <t>Follower</t>
  </si>
  <si>
    <t xml:space="preserve">Follow for FREE. Receive exclusive updates to my progress. Give your input on my efforts. See how this process can work for you. 
</t>
  </si>
  <si>
    <t>Supporter</t>
  </si>
  <si>
    <t>Sponsor</t>
  </si>
  <si>
    <t>Patron</t>
  </si>
  <si>
    <t xml:space="preserve">Become a patron to my need-resolving campaign by matching my current weekly level of support. Let's solve </t>
  </si>
  <si>
    <t>needs together.</t>
  </si>
  <si>
    <t>Support my need-resolving campaign for only $5 each week. Give your input and vote on my efforts. Start speaking your own truth to political power.</t>
  </si>
  <si>
    <t>Sponsor my need-resolving campaign for only $20 each week. Boost your branding with this service empowering the politically powerless.</t>
  </si>
  <si>
    <r>
      <t xml:space="preserve">Help turn </t>
    </r>
    <r>
      <rPr>
        <b/>
        <i/>
        <sz val="11"/>
        <color theme="1"/>
        <rFont val="Cambria"/>
        <family val="1"/>
      </rPr>
      <t>divisive politics</t>
    </r>
    <r>
      <rPr>
        <sz val="11"/>
        <color theme="1"/>
        <rFont val="Cambria"/>
        <family val="1"/>
      </rPr>
      <t xml:space="preserve"> into </t>
    </r>
    <r>
      <rPr>
        <b/>
        <i/>
        <sz val="11"/>
        <color theme="1"/>
        <rFont val="Cambria"/>
        <family val="1"/>
      </rPr>
      <t>mutual respect</t>
    </r>
    <r>
      <rPr>
        <sz val="11"/>
        <color theme="1"/>
        <rFont val="Cambria"/>
        <family val="1"/>
      </rPr>
      <t xml:space="preserve"> for each other’s politicized needs. Choose which subscription fits you best. Click the link below to sign up to my campaign today. You have a week to try it out before you get billed. Then we are on our way to replace political hate with some much needed love. Learn more at </t>
    </r>
    <r>
      <rPr>
        <sz val="10"/>
        <color rgb="FF00823C"/>
        <rFont val="Arial Black"/>
        <family val="2"/>
      </rPr>
      <t>Value</t>
    </r>
    <r>
      <rPr>
        <sz val="10"/>
        <color rgb="FF780091"/>
        <rFont val="Arial Black"/>
        <family val="2"/>
      </rPr>
      <t>Relating</t>
    </r>
    <r>
      <rPr>
        <sz val="11"/>
        <color theme="1"/>
        <rFont val="Cambria"/>
        <family val="1"/>
      </rPr>
      <t>.com. Welcome aboard!</t>
    </r>
  </si>
  <si>
    <t>When ready, you send out invitations that look something like this.</t>
  </si>
  <si>
    <t>Select who to send an invitation.</t>
  </si>
  <si>
    <t>Recipient:</t>
  </si>
  <si>
    <t>directly involved</t>
  </si>
  <si>
    <t>a supporter</t>
  </si>
  <si>
    <t>a sponsor</t>
  </si>
  <si>
    <t>a patron</t>
  </si>
  <si>
    <t xml:space="preserve">-related needs. Join me in replacing divisive politics with the love of respecting the affected need on both sides of the issue. You have two options. To follow or become </t>
  </si>
  <si>
    <t>Support my need-resolving campaign with a weekly financial support level appropriate to your level of impact. Help empower the politically powerless to resolve needs in ways eluding the powerful.</t>
  </si>
  <si>
    <t>Ready to join or start your own advocacy campaign?</t>
  </si>
  <si>
    <t>1: PREP phase</t>
  </si>
  <si>
    <t>2: BASE phase</t>
  </si>
  <si>
    <t>3: LAUNCH phase</t>
  </si>
  <si>
    <t>4. GROWTH phase</t>
  </si>
  <si>
    <t>5. CAUSE phase</t>
  </si>
  <si>
    <r>
      <t xml:space="preserve">At the </t>
    </r>
    <r>
      <rPr>
        <b/>
        <sz val="12"/>
        <color theme="1"/>
        <rFont val="Cambria"/>
        <family val="1"/>
      </rPr>
      <t>base phase</t>
    </r>
    <r>
      <rPr>
        <sz val="12"/>
        <color theme="1"/>
        <rFont val="Cambria"/>
        <family val="1"/>
      </rPr>
      <t xml:space="preserve">, you </t>
    </r>
    <r>
      <rPr>
        <b/>
        <sz val="12"/>
        <color theme="1"/>
        <rFont val="Cambria"/>
        <family val="1"/>
      </rPr>
      <t>ASSESS</t>
    </r>
    <r>
      <rPr>
        <sz val="12"/>
        <color theme="1"/>
        <rFont val="Cambria"/>
        <family val="1"/>
      </rPr>
      <t xml:space="preserve"> the responsiveness to your power impacted needs. Your tone turns insistant. Urgency rises. You introduce them to need-response.</t>
    </r>
  </si>
  <si>
    <t xml:space="preserve">Depolarizing </t>
  </si>
  <si>
    <t>Stuck in pointless conflict</t>
  </si>
  <si>
    <r>
      <t xml:space="preserve">Welcome to </t>
    </r>
    <r>
      <rPr>
        <b/>
        <sz val="22"/>
        <color rgb="FFD2FFE6"/>
        <rFont val="Tahoma"/>
        <family val="2"/>
      </rPr>
      <t>campaign</t>
    </r>
    <r>
      <rPr>
        <b/>
        <sz val="22"/>
        <color rgb="FF1E5A28"/>
        <rFont val="Tahoma"/>
        <family val="2"/>
      </rPr>
      <t xml:space="preserve"> </t>
    </r>
    <r>
      <rPr>
        <b/>
        <sz val="22"/>
        <color rgb="FFFFCCFF"/>
        <rFont val="Tahoma"/>
        <family val="2"/>
      </rPr>
      <t>advocacy</t>
    </r>
  </si>
  <si>
    <r>
      <t xml:space="preserve">What is the </t>
    </r>
    <r>
      <rPr>
        <b/>
        <sz val="22"/>
        <color theme="9" tint="-0.499984740745262"/>
        <rFont val="Tahoma"/>
        <family val="2"/>
      </rPr>
      <t>impact parity model</t>
    </r>
    <r>
      <rPr>
        <b/>
        <sz val="22"/>
        <color rgb="FF00823C"/>
        <rFont val="Tahoma"/>
        <family val="2"/>
      </rPr>
      <t>?</t>
    </r>
  </si>
  <si>
    <r>
      <t xml:space="preserve">Because they </t>
    </r>
    <r>
      <rPr>
        <b/>
        <i/>
        <sz val="18"/>
        <color rgb="FF00B050"/>
        <rFont val="Tahoma"/>
        <family val="2"/>
      </rPr>
      <t>need</t>
    </r>
    <r>
      <rPr>
        <b/>
        <sz val="18"/>
        <color rgb="FF00B050"/>
        <rFont val="Tahoma"/>
        <family val="2"/>
      </rPr>
      <t xml:space="preserve"> you</t>
    </r>
  </si>
  <si>
    <t>Your Relating Terms</t>
  </si>
  <si>
    <t>Select options from each if the four fields below to see a sample weekly update report.</t>
  </si>
  <si>
    <t xml:space="preserve"> to ease your needs.</t>
  </si>
  <si>
    <t xml:space="preserve"> to ease their needs.</t>
  </si>
  <si>
    <t>First, you need '</t>
  </si>
  <si>
    <t xml:space="preserve">' for </t>
  </si>
  <si>
    <t>First, they need '</t>
  </si>
  <si>
    <t xml:space="preserve">Then point to </t>
  </si>
  <si>
    <t>improvements</t>
  </si>
  <si>
    <t>First, they need something you may eventually need.</t>
  </si>
  <si>
    <t>First, you need something they may eventually need.</t>
  </si>
  <si>
    <t>You're too busy easing your pain to see their affected needs.</t>
  </si>
  <si>
    <t>They're too busy easing their pain to see your affected needs.</t>
  </si>
  <si>
    <t>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t>
  </si>
  <si>
    <t>When it comes to politics, you need to focus more on what impacts your needs. Your situation in life creates a clashing priority of needs than experienced by those of the other political side. Your needs come first. They prioritize your political reasoning, for their relief.</t>
  </si>
  <si>
    <t>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t>
  </si>
  <si>
    <t>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t>
  </si>
  <si>
    <t>We must ensure everyone can freely live up to their full creative potential.</t>
  </si>
  <si>
    <t>We must ensure everyone's needs are equally met through government oversight.</t>
  </si>
  <si>
    <r>
      <t>In the absence of a bridge for mutual respect, each side entertains extreme positions. You or someone on your side likely insists we go to one extreme. That easily provokes extreme elements on the other side. They insist we go in the opposite extreme, to serve their prioritized needs</t>
    </r>
    <r>
      <rPr>
        <sz val="10.5"/>
        <color rgb="FFCC00CC"/>
        <rFont val="Arial Narrow"/>
        <family val="2"/>
      </rPr>
      <t>.</t>
    </r>
  </si>
  <si>
    <t>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t>
  </si>
  <si>
    <t>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t>
  </si>
  <si>
    <t>I want to better understand the needs of conservatives and Trumpists.</t>
  </si>
  <si>
    <t>I want to better understand the needs of liberals and progressives.</t>
  </si>
  <si>
    <t>They take away our liberty and insist we serve big government!</t>
  </si>
  <si>
    <t>They take away our rights and insist we serve big business!</t>
  </si>
  <si>
    <t>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t>
  </si>
  <si>
    <t>The more I support your needs, the more I trust you to support my needs.</t>
  </si>
  <si>
    <r>
      <t>The more I support your needs, the more I trust you to support my needs</t>
    </r>
    <r>
      <rPr>
        <sz val="10.5"/>
        <color rgb="FFCC00CC"/>
        <rFont val="Arial Narrow"/>
        <family val="2"/>
      </rPr>
      <t xml:space="preserve">. </t>
    </r>
  </si>
  <si>
    <t>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t>
  </si>
  <si>
    <t>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t>
  </si>
  <si>
    <t>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t>
  </si>
  <si>
    <t>"Conservatives are all bad! They oppress us to death!"</t>
  </si>
  <si>
    <t>"Liberals are all bad! They want to tax us to death!"</t>
  </si>
  <si>
    <t>We must outlaw historic discrimination so minorities can integrate into society.</t>
  </si>
  <si>
    <t>No one is free until we all can be equally free.</t>
  </si>
  <si>
    <t>Too much government ensures we will all stay equally poor.</t>
  </si>
  <si>
    <t>Provide more breaks for the historically oppressed, with government oversight.</t>
  </si>
  <si>
    <t>Guarantee more individual liberties, to remove the growing threat of government tyranny.</t>
  </si>
  <si>
    <t>I hear your need for protections from historically unfair practices of discrimination.</t>
  </si>
  <si>
    <t>I affirm your need for greater protections from unchecked exploitations.</t>
  </si>
  <si>
    <t>I the more I support your need for less government in some areas, the more I count on you to support my need for more government in other areas.</t>
  </si>
  <si>
    <t>I the more I support your need for more government in some areas, the more I count on you to support my need for less government in other areas.</t>
  </si>
  <si>
    <t>I hear your need for more personal liberty, to address your needs freely on your own.</t>
  </si>
  <si>
    <t>I affirm your need for greater personal space to make the most of life.</t>
  </si>
  <si>
    <r>
      <t xml:space="preserve">1)  </t>
    </r>
    <r>
      <rPr>
        <b/>
        <i/>
        <sz val="12"/>
        <color rgb="FF99FF99"/>
        <rFont val="Cambria"/>
        <family val="1"/>
      </rPr>
      <t>Identify</t>
    </r>
    <r>
      <rPr>
        <sz val="12"/>
        <color rgb="FF99FF99"/>
        <rFont val="Cambria"/>
        <family val="1"/>
      </rPr>
      <t xml:space="preserve"> affected needs</t>
    </r>
  </si>
  <si>
    <r>
      <t xml:space="preserve">2)  </t>
    </r>
    <r>
      <rPr>
        <b/>
        <i/>
        <sz val="12"/>
        <color rgb="FF99FF99"/>
        <rFont val="Cambria"/>
        <family val="1"/>
      </rPr>
      <t>Express</t>
    </r>
    <r>
      <rPr>
        <sz val="12"/>
        <color rgb="FF99FF99"/>
        <rFont val="Cambria"/>
        <family val="1"/>
      </rPr>
      <t xml:space="preserve"> affected needs</t>
    </r>
  </si>
  <si>
    <r>
      <t xml:space="preserve">3)  </t>
    </r>
    <r>
      <rPr>
        <b/>
        <i/>
        <sz val="12"/>
        <color rgb="FF99FF99"/>
        <rFont val="Cambria"/>
        <family val="1"/>
      </rPr>
      <t>Address</t>
    </r>
    <r>
      <rPr>
        <sz val="12"/>
        <color rgb="FF99FF99"/>
        <rFont val="Cambria"/>
        <family val="1"/>
      </rPr>
      <t xml:space="preserve"> affected needs</t>
    </r>
  </si>
  <si>
    <r>
      <t xml:space="preserve">At the </t>
    </r>
    <r>
      <rPr>
        <b/>
        <sz val="11"/>
        <color theme="1"/>
        <rFont val="Cambria"/>
        <family val="1"/>
      </rPr>
      <t>prep phase</t>
    </r>
    <r>
      <rPr>
        <sz val="11"/>
        <color theme="1"/>
        <rFont val="Cambria"/>
        <family val="1"/>
      </rPr>
      <t xml:space="preserve">, you </t>
    </r>
    <r>
      <rPr>
        <b/>
        <sz val="11"/>
        <color theme="1"/>
        <rFont val="Cambria"/>
        <family val="1"/>
      </rPr>
      <t>ANNOUNCE</t>
    </r>
    <r>
      <rPr>
        <sz val="11"/>
        <color theme="1"/>
        <rFont val="Cambria"/>
        <family val="1"/>
      </rPr>
      <t xml:space="preserve"> your intentions to resolve a politicized need.</t>
    </r>
  </si>
  <si>
    <r>
      <t xml:space="preserve">At the </t>
    </r>
    <r>
      <rPr>
        <b/>
        <sz val="11"/>
        <color theme="1"/>
        <rFont val="Cambria"/>
        <family val="1"/>
      </rPr>
      <t>base phase</t>
    </r>
    <r>
      <rPr>
        <sz val="11"/>
        <color theme="1"/>
        <rFont val="Cambria"/>
        <family val="1"/>
      </rPr>
      <t xml:space="preserve">, you </t>
    </r>
    <r>
      <rPr>
        <b/>
        <sz val="11"/>
        <color theme="1"/>
        <rFont val="Cambria"/>
        <family val="1"/>
      </rPr>
      <t>ASSESS</t>
    </r>
    <r>
      <rPr>
        <sz val="11"/>
        <color theme="1"/>
        <rFont val="Cambria"/>
        <family val="1"/>
      </rPr>
      <t xml:space="preserve"> the responsiveness to your power impacted needs.</t>
    </r>
  </si>
  <si>
    <r>
      <t xml:space="preserve">At the </t>
    </r>
    <r>
      <rPr>
        <b/>
        <sz val="11"/>
        <color theme="1"/>
        <rFont val="Cambria"/>
        <family val="1"/>
      </rPr>
      <t>launch phase</t>
    </r>
    <r>
      <rPr>
        <sz val="11"/>
        <color theme="1"/>
        <rFont val="Cambria"/>
        <family val="1"/>
      </rPr>
      <t xml:space="preserve">, you </t>
    </r>
    <r>
      <rPr>
        <b/>
        <sz val="11"/>
        <color theme="1"/>
        <rFont val="Cambria"/>
        <family val="1"/>
      </rPr>
      <t>AUDIT</t>
    </r>
    <r>
      <rPr>
        <sz val="11"/>
        <color theme="1"/>
        <rFont val="Cambria"/>
        <family val="1"/>
      </rPr>
      <t xml:space="preserve"> responsiveness to all kinds of affected needs.</t>
    </r>
  </si>
  <si>
    <r>
      <t xml:space="preserve">At the </t>
    </r>
    <r>
      <rPr>
        <b/>
        <sz val="11"/>
        <color theme="1"/>
        <rFont val="Cambria"/>
        <family val="1"/>
      </rPr>
      <t>growth phase</t>
    </r>
    <r>
      <rPr>
        <sz val="11"/>
        <color theme="1"/>
        <rFont val="Cambria"/>
        <family val="1"/>
      </rPr>
      <t xml:space="preserve">, you </t>
    </r>
    <r>
      <rPr>
        <b/>
        <sz val="11"/>
        <color theme="1"/>
        <rFont val="Cambria"/>
        <family val="1"/>
      </rPr>
      <t>AVOW</t>
    </r>
    <r>
      <rPr>
        <sz val="11"/>
        <color theme="1"/>
        <rFont val="Cambria"/>
        <family val="1"/>
      </rPr>
      <t xml:space="preserve"> to resolve needs mutually or unilaterally.</t>
    </r>
  </si>
  <si>
    <r>
      <t xml:space="preserve">At the </t>
    </r>
    <r>
      <rPr>
        <b/>
        <sz val="11"/>
        <color theme="1"/>
        <rFont val="Cambria"/>
        <family val="1"/>
      </rPr>
      <t>resolution phase</t>
    </r>
    <r>
      <rPr>
        <sz val="11"/>
        <color theme="1"/>
        <rFont val="Cambria"/>
        <family val="1"/>
      </rPr>
      <t xml:space="preserve">, you </t>
    </r>
    <r>
      <rPr>
        <b/>
        <sz val="11"/>
        <color theme="1"/>
        <rFont val="Cambria"/>
        <family val="1"/>
      </rPr>
      <t>ACCLAIM</t>
    </r>
    <r>
      <rPr>
        <sz val="11"/>
        <color theme="1"/>
        <rFont val="Cambria"/>
        <family val="1"/>
      </rPr>
      <t xml:space="preserve"> the entity to continue addressing the need.</t>
    </r>
  </si>
  <si>
    <r>
      <t xml:space="preserve">At the </t>
    </r>
    <r>
      <rPr>
        <b/>
        <sz val="12"/>
        <color theme="1"/>
        <rFont val="Cambria"/>
        <family val="1"/>
      </rPr>
      <t>cause phase</t>
    </r>
    <r>
      <rPr>
        <sz val="12"/>
        <color theme="1"/>
        <rFont val="Cambria"/>
        <family val="1"/>
      </rPr>
      <t xml:space="preserve">, you </t>
    </r>
    <r>
      <rPr>
        <b/>
        <sz val="12"/>
        <color theme="1"/>
        <rFont val="Cambria"/>
        <family val="1"/>
      </rPr>
      <t>ACCLAIM</t>
    </r>
    <r>
      <rPr>
        <sz val="12"/>
        <color theme="1"/>
        <rFont val="Cambria"/>
        <family val="1"/>
      </rPr>
      <t xml:space="preserve"> the entity to continue addressing the need. Your tone is celebratory with all who joined you.</t>
    </r>
  </si>
  <si>
    <t>Apply to your own needs</t>
  </si>
  <si>
    <t>For counselors serving ideologically diverse clients</t>
  </si>
  <si>
    <t>Receive growing support to speak truth to political power</t>
  </si>
  <si>
    <t>For the politically influential to create meaningful change</t>
  </si>
  <si>
    <t>For the politically powerless to advocate for resolving needs</t>
  </si>
  <si>
    <r>
      <rPr>
        <sz val="12"/>
        <color theme="1"/>
        <rFont val="Tahoma"/>
        <family val="2"/>
      </rPr>
      <t xml:space="preserve">TBA: </t>
    </r>
    <r>
      <rPr>
        <i/>
        <sz val="12"/>
        <color theme="1"/>
        <rFont val="Tahoma"/>
        <family val="2"/>
      </rPr>
      <t>This one is still being developed.</t>
    </r>
  </si>
  <si>
    <t>equality and freedom</t>
  </si>
  <si>
    <t>Love inspires the paradox that both side's core needs can be resolved together.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</si>
</sst>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5" formatCode="&quot;$&quot;#,##0_);\(&quot;$&quot;#,##0\)"/>
    <numFmt numFmtId="44" formatCode="_(&quot;$&quot;* #,##0.00_);_(&quot;$&quot;* \(#,##0.00\);_(&quot;$&quot;* &quot;-&quot;??_);_(@_)"/>
    <numFmt numFmtId="164" formatCode="m/d/yy"/>
    <numFmt numFmtId="165" formatCode="#."/>
    <numFmt numFmtId="166" formatCode="&quot;$&quot;#,##0.00"/>
    <numFmt numFmtId="167" formatCode="&quot;$&quot;#,##0"/>
  </numFmts>
  <fonts count="475">
    <font>
      <sz val="11"/>
      <color theme="1"/>
      <name val="Calibri"/>
      <family val="2"/>
      <scheme val="minor"/>
    </font>
    <font>
      <sz val="11"/>
      <color theme="1"/>
      <name val="Calibri"/>
      <family val="2"/>
      <scheme val="minor"/>
    </font>
    <font>
      <sz val="10"/>
      <name val="Arial"/>
      <family val="2"/>
    </font>
    <font>
      <b/>
      <sz val="12"/>
      <color rgb="FFFFFF00"/>
      <name val="Tahoma"/>
      <family val="2"/>
    </font>
    <font>
      <sz val="12"/>
      <color rgb="FF00B050"/>
      <name val="Arial"/>
      <family val="2"/>
    </font>
    <font>
      <sz val="16"/>
      <color theme="1"/>
      <name val="Tahoma"/>
      <family val="2"/>
    </font>
    <font>
      <b/>
      <sz val="14"/>
      <color theme="1"/>
      <name val="Tahoma"/>
      <family val="2"/>
    </font>
    <font>
      <sz val="11"/>
      <color theme="1"/>
      <name val="Arial Narrow"/>
      <family val="2"/>
    </font>
    <font>
      <sz val="11"/>
      <color rgb="FF000000"/>
      <name val="Arial Narrow"/>
      <family val="2"/>
    </font>
    <font>
      <sz val="10"/>
      <color theme="1"/>
      <name val="Arial Narrow"/>
      <family val="2"/>
    </font>
    <font>
      <sz val="20"/>
      <color theme="1"/>
      <name val="Tahoma"/>
      <family val="2"/>
    </font>
    <font>
      <b/>
      <sz val="20"/>
      <color theme="1"/>
      <name val="Tahoma"/>
      <family val="2"/>
    </font>
    <font>
      <b/>
      <sz val="20"/>
      <color rgb="FF371950"/>
      <name val="Tahoma"/>
      <family val="2"/>
    </font>
    <font>
      <b/>
      <sz val="20"/>
      <color rgb="FF008237"/>
      <name val="Tahoma"/>
      <family val="2"/>
    </font>
    <font>
      <sz val="10"/>
      <color theme="1"/>
      <name val="Arial Black"/>
      <family val="2"/>
    </font>
    <font>
      <sz val="12"/>
      <color theme="1"/>
      <name val="Arial Black"/>
      <family val="2"/>
    </font>
    <font>
      <b/>
      <sz val="10"/>
      <color theme="1"/>
      <name val="Arial Narrow"/>
      <family val="2"/>
    </font>
    <font>
      <b/>
      <sz val="11"/>
      <color theme="1"/>
      <name val="Arial Narrow"/>
      <family val="2"/>
    </font>
    <font>
      <b/>
      <sz val="9"/>
      <color theme="1"/>
      <name val="Tahoma"/>
      <family val="2"/>
    </font>
    <font>
      <b/>
      <sz val="8"/>
      <color rgb="FF371950"/>
      <name val="Arial Narrow"/>
      <family val="2"/>
    </font>
    <font>
      <b/>
      <sz val="12"/>
      <color theme="1"/>
      <name val="Arial Narrow"/>
      <family val="2"/>
    </font>
    <font>
      <b/>
      <sz val="20"/>
      <color rgb="FF00501E"/>
      <name val="Tahoma"/>
      <family val="2"/>
    </font>
    <font>
      <b/>
      <sz val="12"/>
      <color theme="1"/>
      <name val="Tahoma"/>
      <family val="2"/>
    </font>
    <font>
      <b/>
      <sz val="10"/>
      <color rgb="FF0070C0"/>
      <name val="Arial Narrow"/>
      <family val="2"/>
    </font>
    <font>
      <sz val="10"/>
      <color rgb="FF0070C0"/>
      <name val="Arial Narrow"/>
      <family val="2"/>
    </font>
    <font>
      <b/>
      <sz val="10"/>
      <color rgb="FFC00000"/>
      <name val="Arial Narrow"/>
      <family val="2"/>
    </font>
    <font>
      <b/>
      <sz val="12"/>
      <color rgb="FF0070C0"/>
      <name val="Tahoma"/>
      <family val="2"/>
    </font>
    <font>
      <b/>
      <sz val="12"/>
      <color rgb="FFC00000"/>
      <name val="Tahoma"/>
      <family val="2"/>
    </font>
    <font>
      <b/>
      <sz val="10"/>
      <color rgb="FF00B050"/>
      <name val="Arial Narrow"/>
      <family val="2"/>
    </font>
    <font>
      <b/>
      <sz val="10"/>
      <color rgb="FFFFFF00"/>
      <name val="Arial Narrow"/>
      <family val="2"/>
    </font>
    <font>
      <sz val="12"/>
      <color theme="1"/>
      <name val="Arial"/>
      <family val="2"/>
    </font>
    <font>
      <b/>
      <sz val="12"/>
      <color rgb="FF00B050"/>
      <name val="Tahoma"/>
      <family val="2"/>
    </font>
    <font>
      <b/>
      <sz val="36"/>
      <color rgb="FF00501E"/>
      <name val="Tahoma"/>
      <family val="2"/>
    </font>
    <font>
      <b/>
      <sz val="8"/>
      <color theme="0"/>
      <name val="Arial Narrow"/>
      <family val="2"/>
    </font>
    <font>
      <b/>
      <i/>
      <sz val="20"/>
      <color rgb="FF00501E"/>
      <name val="Tahoma"/>
      <family val="2"/>
    </font>
    <font>
      <b/>
      <sz val="14"/>
      <color theme="1"/>
      <name val="Arial"/>
      <family val="2"/>
    </font>
    <font>
      <b/>
      <sz val="11"/>
      <color theme="1"/>
      <name val="Arial"/>
      <family val="2"/>
    </font>
    <font>
      <sz val="10"/>
      <color theme="9" tint="-0.499984740745262"/>
      <name val="Cambria"/>
      <family val="1"/>
    </font>
    <font>
      <sz val="10"/>
      <color rgb="FF4B1964"/>
      <name val="Cambria"/>
      <family val="1"/>
    </font>
    <font>
      <b/>
      <i/>
      <sz val="20"/>
      <color rgb="FF371950"/>
      <name val="Tahoma"/>
      <family val="2"/>
    </font>
    <font>
      <b/>
      <i/>
      <sz val="10"/>
      <color theme="1"/>
      <name val="Arial Narrow"/>
      <family val="2"/>
    </font>
    <font>
      <sz val="20"/>
      <color rgb="FF870000"/>
      <name val="Arial Black"/>
      <family val="2"/>
    </font>
    <font>
      <sz val="10"/>
      <color theme="9" tint="-0.499984740745262"/>
      <name val="Arial Narrow"/>
      <family val="2"/>
    </font>
    <font>
      <sz val="12"/>
      <color rgb="FF870000"/>
      <name val="Arial Black"/>
      <family val="2"/>
    </font>
    <font>
      <sz val="10"/>
      <color rgb="FF870000"/>
      <name val="Arial Narrow"/>
      <family val="2"/>
    </font>
    <font>
      <sz val="12"/>
      <color rgb="FF00501E"/>
      <name val="Arial Black"/>
      <family val="2"/>
    </font>
    <font>
      <sz val="10"/>
      <color rgb="FF00501E"/>
      <name val="Arial Narrow"/>
      <family val="2"/>
    </font>
    <font>
      <sz val="20"/>
      <color rgb="FF00501E"/>
      <name val="Arial Black"/>
      <family val="2"/>
    </font>
    <font>
      <b/>
      <sz val="16"/>
      <color theme="1" tint="0.499984740745262"/>
      <name val="Tahoma"/>
      <family val="2"/>
    </font>
    <font>
      <b/>
      <sz val="12"/>
      <color theme="1" tint="0.499984740745262"/>
      <name val="Franklin Gothic Heavy"/>
      <family val="2"/>
    </font>
    <font>
      <b/>
      <sz val="20"/>
      <color rgb="FF2F528F"/>
      <name val="Tahoma"/>
      <family val="2"/>
    </font>
    <font>
      <b/>
      <sz val="20"/>
      <color rgb="FFC00000"/>
      <name val="Tahoma"/>
      <family val="2"/>
    </font>
    <font>
      <b/>
      <sz val="9"/>
      <color rgb="FF0070C0"/>
      <name val="Arial Narrow"/>
      <family val="2"/>
    </font>
    <font>
      <sz val="10"/>
      <color rgb="FFF0F5EB"/>
      <name val="Arial Narrow"/>
      <family val="2"/>
    </font>
    <font>
      <sz val="14"/>
      <color rgb="FFF0F5EB"/>
      <name val="Arial Narrow"/>
      <family val="2"/>
    </font>
    <font>
      <b/>
      <sz val="10"/>
      <color rgb="FFF0F5EB"/>
      <name val="Arial Black"/>
      <family val="2"/>
    </font>
    <font>
      <sz val="9"/>
      <color rgb="FFF0F5EB"/>
      <name val="Arial Narrow"/>
      <family val="2"/>
    </font>
    <font>
      <sz val="10"/>
      <color rgb="FFF0F5EB"/>
      <name val="Arial Black"/>
      <family val="2"/>
    </font>
    <font>
      <sz val="24"/>
      <color rgb="FFF0F5EB"/>
      <name val="Arial Narrow"/>
      <family val="2"/>
    </font>
    <font>
      <b/>
      <sz val="24"/>
      <color theme="8" tint="0.79998168889431442"/>
      <name val="Arial Black"/>
      <family val="2"/>
    </font>
    <font>
      <sz val="24"/>
      <color rgb="FFFFCCCC"/>
      <name val="Arial Black"/>
      <family val="2"/>
    </font>
    <font>
      <b/>
      <sz val="54"/>
      <color rgb="FFD2FFE6"/>
      <name val="Tahoma"/>
      <family val="2"/>
    </font>
    <font>
      <sz val="14"/>
      <color theme="8" tint="0.39997558519241921"/>
      <name val="Arial Narrow"/>
      <family val="1"/>
      <charset val="2"/>
    </font>
    <font>
      <sz val="14"/>
      <color theme="8" tint="0.39997558519241921"/>
      <name val="Wingdings 3"/>
      <family val="1"/>
      <charset val="2"/>
    </font>
    <font>
      <sz val="14"/>
      <color theme="8" tint="0.39997558519241921"/>
      <name val="Arial Narrow"/>
      <family val="2"/>
    </font>
    <font>
      <sz val="14"/>
      <color theme="8" tint="0.39997558519241921"/>
      <name val="Arial Black"/>
      <family val="2"/>
    </font>
    <font>
      <sz val="14"/>
      <color rgb="FFFF9999"/>
      <name val="Arial Narrow"/>
      <family val="2"/>
      <charset val="2"/>
    </font>
    <font>
      <sz val="14"/>
      <color rgb="FFFF9999"/>
      <name val="Arial Black"/>
      <family val="2"/>
    </font>
    <font>
      <sz val="14"/>
      <color rgb="FFFF9999"/>
      <name val="Wingdings 3"/>
      <family val="1"/>
      <charset val="2"/>
    </font>
    <font>
      <sz val="16"/>
      <color rgb="FFD7B9FF"/>
      <name val="Arial Black"/>
      <family val="2"/>
    </font>
    <font>
      <sz val="14"/>
      <color rgb="FF00B0F0"/>
      <name val="Wingdings"/>
      <charset val="2"/>
    </font>
    <font>
      <sz val="14"/>
      <color rgb="FFFF0000"/>
      <name val="Wingdings"/>
      <charset val="2"/>
    </font>
    <font>
      <sz val="17"/>
      <color rgb="FFF0CDFF"/>
      <name val="Arial Black"/>
      <family val="2"/>
    </font>
    <font>
      <sz val="17"/>
      <color rgb="FFFFCCCC"/>
      <name val="Arial Black"/>
      <family val="2"/>
    </font>
    <font>
      <sz val="30"/>
      <color rgb="FFFF3C3C"/>
      <name val="Arial Black"/>
      <family val="2"/>
    </font>
    <font>
      <b/>
      <sz val="21"/>
      <color rgb="FF00501E"/>
      <name val="Tahoma"/>
      <family val="2"/>
    </font>
    <font>
      <sz val="108"/>
      <color rgb="FF00B050"/>
      <name val="Wingdings 2"/>
      <family val="1"/>
      <charset val="2"/>
    </font>
    <font>
      <sz val="108"/>
      <color rgb="FFC00000"/>
      <name val="Wingdings 2"/>
      <family val="1"/>
      <charset val="2"/>
    </font>
    <font>
      <b/>
      <sz val="10"/>
      <color theme="8" tint="0.39997558519241921"/>
      <name val="Arial Black"/>
      <family val="2"/>
    </font>
    <font>
      <sz val="10"/>
      <color rgb="FFFF9999"/>
      <name val="Arial Black"/>
      <family val="2"/>
    </font>
    <font>
      <b/>
      <sz val="11"/>
      <color rgb="FF730000"/>
      <name val="Tahoma"/>
      <family val="2"/>
    </font>
    <font>
      <b/>
      <sz val="11"/>
      <color rgb="FF002060"/>
      <name val="Tahoma"/>
      <family val="2"/>
    </font>
    <font>
      <b/>
      <sz val="9"/>
      <color rgb="FFC00000"/>
      <name val="Arial Narrow"/>
      <family val="2"/>
    </font>
    <font>
      <sz val="8"/>
      <color theme="1"/>
      <name val="Arial Black"/>
      <family val="2"/>
    </font>
    <font>
      <sz val="8"/>
      <color theme="1" tint="0.34998626667073579"/>
      <name val="Arial Black"/>
      <family val="2"/>
    </font>
    <font>
      <b/>
      <sz val="13"/>
      <color rgb="FFF0F5EB"/>
      <name val="Arial Narrow"/>
      <family val="2"/>
    </font>
    <font>
      <sz val="72"/>
      <color rgb="FF0070C0"/>
      <name val="Webdings"/>
      <family val="1"/>
      <charset val="2"/>
    </font>
    <font>
      <sz val="72"/>
      <color rgb="FFFF3C3C"/>
      <name val="Webdings"/>
      <family val="1"/>
      <charset val="2"/>
    </font>
    <font>
      <b/>
      <sz val="12"/>
      <color theme="1"/>
      <name val="Arial"/>
      <family val="2"/>
    </font>
    <font>
      <sz val="11"/>
      <color theme="1"/>
      <name val="Arial"/>
      <family val="2"/>
    </font>
    <font>
      <sz val="10"/>
      <color rgb="FF000000"/>
      <name val="Tahoma"/>
      <family val="2"/>
    </font>
    <font>
      <b/>
      <sz val="10"/>
      <color theme="7" tint="-0.499984740745262"/>
      <name val="Arial Narrow"/>
      <family val="2"/>
    </font>
    <font>
      <b/>
      <sz val="9"/>
      <color theme="7" tint="-0.499984740745262"/>
      <name val="Arial Narrow"/>
      <family val="2"/>
    </font>
    <font>
      <sz val="10"/>
      <color theme="7" tint="-0.499984740745262"/>
      <name val="Cambria"/>
      <family val="1"/>
    </font>
    <font>
      <sz val="9"/>
      <color theme="1"/>
      <name val="Arial Black"/>
      <family val="2"/>
    </font>
    <font>
      <sz val="10"/>
      <color rgb="FF00B050"/>
      <name val="Arial Narrow"/>
      <family val="2"/>
    </font>
    <font>
      <b/>
      <sz val="28"/>
      <color rgb="FFC00000"/>
      <name val="Arial"/>
      <family val="2"/>
    </font>
    <font>
      <b/>
      <sz val="12"/>
      <color rgb="FFC00000"/>
      <name val="Arial Black"/>
      <family val="2"/>
    </font>
    <font>
      <b/>
      <sz val="36"/>
      <color rgb="FF4B1E64"/>
      <name val="Tahoma"/>
      <family val="2"/>
    </font>
    <font>
      <sz val="11"/>
      <color rgb="FF9C0006"/>
      <name val="Calibri"/>
      <family val="2"/>
      <scheme val="minor"/>
    </font>
    <font>
      <b/>
      <sz val="20"/>
      <color rgb="FF5AFFA0"/>
      <name val="Tahoma"/>
      <family val="2"/>
    </font>
    <font>
      <b/>
      <sz val="24"/>
      <color rgb="FF00501E"/>
      <name val="Tahoma"/>
      <family val="2"/>
    </font>
    <font>
      <sz val="12"/>
      <color rgb="FF0070C0"/>
      <name val="Arial"/>
      <family val="2"/>
    </font>
    <font>
      <sz val="15"/>
      <color rgb="FF0070C0"/>
      <name val="Tahoma"/>
      <family val="2"/>
    </font>
    <font>
      <sz val="15"/>
      <color rgb="FFC00000"/>
      <name val="Tahoma"/>
      <family val="2"/>
    </font>
    <font>
      <sz val="12"/>
      <color theme="1"/>
      <name val="Tahoma"/>
      <family val="2"/>
    </font>
    <font>
      <b/>
      <sz val="20"/>
      <color theme="1"/>
      <name val="Arial"/>
      <family val="2"/>
    </font>
    <font>
      <sz val="14"/>
      <color rgb="FF9C0006"/>
      <name val="Tahoma"/>
      <family val="2"/>
    </font>
    <font>
      <sz val="14"/>
      <color theme="8" tint="-0.499984740745262"/>
      <name val="Tahoma"/>
      <family val="2"/>
    </font>
    <font>
      <sz val="14"/>
      <color rgb="FF9C0000"/>
      <name val="Tahoma"/>
      <family val="2"/>
    </font>
    <font>
      <sz val="14"/>
      <color rgb="FF002060"/>
      <name val="Tahoma"/>
      <family val="2"/>
    </font>
    <font>
      <sz val="12"/>
      <color rgb="FF000000"/>
      <name val="Tahoma"/>
      <family val="2"/>
    </font>
    <font>
      <b/>
      <i/>
      <sz val="28"/>
      <color rgb="FFC00000"/>
      <name val="Arial"/>
      <family val="2"/>
    </font>
    <font>
      <b/>
      <i/>
      <sz val="28"/>
      <color rgb="FF7030A0"/>
      <name val="Arial"/>
      <family val="2"/>
    </font>
    <font>
      <sz val="14"/>
      <color theme="1"/>
      <name val="Arial"/>
      <family val="2"/>
    </font>
    <font>
      <b/>
      <sz val="11.5"/>
      <color rgb="FF5A1E7D"/>
      <name val="Arial"/>
      <family val="2"/>
    </font>
    <font>
      <sz val="12"/>
      <color rgb="FF37144B"/>
      <name val="Arial Narrow"/>
      <family val="2"/>
    </font>
    <font>
      <sz val="10"/>
      <color theme="9" tint="-0.499984740745262"/>
      <name val="Arial"/>
      <family val="2"/>
    </font>
    <font>
      <sz val="14"/>
      <color theme="9" tint="-0.499984740745262"/>
      <name val="Arial"/>
      <family val="2"/>
    </font>
    <font>
      <sz val="11"/>
      <color theme="1"/>
      <name val="Tahoma"/>
      <family val="2"/>
    </font>
    <font>
      <sz val="8"/>
      <color rgb="FF007846"/>
      <name val="Arial"/>
      <family val="2"/>
    </font>
    <font>
      <sz val="14"/>
      <color rgb="FF0070C0"/>
      <name val="Tahoma"/>
      <family val="2"/>
    </font>
    <font>
      <sz val="14"/>
      <color rgb="FFC00000"/>
      <name val="Tahoma"/>
      <family val="2"/>
    </font>
    <font>
      <sz val="9"/>
      <color theme="1"/>
      <name val="Calibri"/>
      <family val="2"/>
    </font>
    <font>
      <b/>
      <sz val="16"/>
      <color theme="8" tint="0.39997558519241921"/>
      <name val="Tahoma"/>
      <family val="2"/>
    </font>
    <font>
      <b/>
      <sz val="16"/>
      <color rgb="FFFF9999"/>
      <name val="Tahoma"/>
      <family val="2"/>
    </font>
    <font>
      <b/>
      <sz val="10"/>
      <color rgb="FFFF9999"/>
      <name val="Arial Narrow"/>
      <family val="2"/>
    </font>
    <font>
      <sz val="30"/>
      <color rgb="FFFFFF00"/>
      <name val="Arial Black"/>
      <family val="2"/>
    </font>
    <font>
      <b/>
      <sz val="24"/>
      <color rgb="FF4B1E64"/>
      <name val="Arial Narrow"/>
      <family val="2"/>
    </font>
    <font>
      <b/>
      <sz val="24"/>
      <color theme="9" tint="-0.499984740745262"/>
      <name val="Arial Narrow"/>
      <family val="2"/>
    </font>
    <font>
      <b/>
      <sz val="24"/>
      <color rgb="FFFFFF00"/>
      <name val="Arial Narrow"/>
      <family val="2"/>
    </font>
    <font>
      <b/>
      <sz val="24"/>
      <color theme="0"/>
      <name val="Arial Narrow"/>
      <family val="2"/>
    </font>
    <font>
      <b/>
      <i/>
      <sz val="24"/>
      <color theme="0"/>
      <name val="Arial Narrow"/>
      <family val="2"/>
    </font>
    <font>
      <b/>
      <sz val="12"/>
      <color rgb="FFC00000"/>
      <name val="Arial Narrow"/>
      <family val="2"/>
    </font>
    <font>
      <b/>
      <sz val="18"/>
      <color rgb="FF3C1E5A"/>
      <name val="Arial Black"/>
      <family val="2"/>
    </font>
    <font>
      <b/>
      <sz val="28"/>
      <color rgb="FF730000"/>
      <name val="Arial Black"/>
      <family val="2"/>
    </font>
    <font>
      <i/>
      <sz val="12"/>
      <color theme="1"/>
      <name val="Arial"/>
      <family val="2"/>
    </font>
    <font>
      <sz val="10.5"/>
      <color rgb="FF000000"/>
      <name val="Tahoma"/>
      <family val="2"/>
    </font>
    <font>
      <sz val="12"/>
      <color theme="9" tint="-0.499984740745262"/>
      <name val="Tahoma"/>
      <family val="2"/>
    </font>
    <font>
      <sz val="10"/>
      <color theme="1"/>
      <name val="Tahoma"/>
      <family val="2"/>
    </font>
    <font>
      <b/>
      <sz val="20"/>
      <color theme="1" tint="0.499984740745262"/>
      <name val="Tahoma"/>
      <family val="2"/>
    </font>
    <font>
      <b/>
      <sz val="20"/>
      <color rgb="FFA0FFCD"/>
      <name val="Tahoma"/>
      <family val="2"/>
    </font>
    <font>
      <b/>
      <sz val="20"/>
      <color rgb="FF004623"/>
      <name val="Tahoma"/>
      <family val="2"/>
    </font>
    <font>
      <sz val="30"/>
      <color rgb="FFFF99FF"/>
      <name val="Arial Black"/>
      <family val="2"/>
    </font>
    <font>
      <sz val="8"/>
      <name val="Calibri"/>
      <family val="2"/>
      <scheme val="minor"/>
    </font>
    <font>
      <sz val="10"/>
      <color rgb="FF009641"/>
      <name val="Arial Narrow"/>
      <family val="2"/>
    </font>
    <font>
      <b/>
      <sz val="20"/>
      <color theme="0"/>
      <name val="Wingdings 3"/>
      <family val="1"/>
      <charset val="2"/>
    </font>
    <font>
      <sz val="10"/>
      <color theme="0"/>
      <name val="Wingdings 3"/>
      <family val="1"/>
      <charset val="2"/>
    </font>
    <font>
      <sz val="17"/>
      <color theme="0"/>
      <name val="Wingdings 3"/>
      <family val="1"/>
      <charset val="2"/>
    </font>
    <font>
      <b/>
      <sz val="54"/>
      <color rgb="FFA0FFCD"/>
      <name val="Tahoma"/>
      <family val="2"/>
    </font>
    <font>
      <b/>
      <sz val="10"/>
      <color rgb="FF004623"/>
      <name val="Arial Black"/>
      <family val="2"/>
    </font>
    <font>
      <b/>
      <sz val="20"/>
      <color rgb="FFEBDCFF"/>
      <name val="Tahoma"/>
      <family val="2"/>
    </font>
    <font>
      <b/>
      <sz val="20"/>
      <color rgb="FFC8FFE1"/>
      <name val="Tahoma"/>
      <family val="2"/>
    </font>
    <font>
      <b/>
      <i/>
      <sz val="20"/>
      <color rgb="FFEBDCFF"/>
      <name val="Tahoma"/>
      <family val="2"/>
    </font>
    <font>
      <u/>
      <sz val="11"/>
      <color theme="10"/>
      <name val="Calibri"/>
      <family val="2"/>
      <scheme val="minor"/>
    </font>
    <font>
      <b/>
      <sz val="10"/>
      <color theme="1" tint="0.499984740745262"/>
      <name val="Arial Narrow"/>
      <family val="2"/>
    </font>
    <font>
      <sz val="11"/>
      <color theme="0"/>
      <name val="Wingdings 3"/>
      <family val="1"/>
      <charset val="2"/>
    </font>
    <font>
      <sz val="14"/>
      <color theme="1"/>
      <name val="Tahoma"/>
      <family val="2"/>
    </font>
    <font>
      <sz val="11"/>
      <color rgb="FF000000"/>
      <name val="Tahoma"/>
      <family val="2"/>
    </font>
    <font>
      <b/>
      <sz val="14"/>
      <color rgb="FF009641"/>
      <name val="Tahoma"/>
      <family val="2"/>
    </font>
    <font>
      <b/>
      <sz val="14"/>
      <color rgb="FF7030A0"/>
      <name val="Tahoma"/>
      <family val="2"/>
    </font>
    <font>
      <sz val="12"/>
      <color rgb="FF009641"/>
      <name val="Tahoma"/>
      <family val="2"/>
    </font>
    <font>
      <sz val="15"/>
      <color rgb="FFC8FFE1"/>
      <name val="Arial Black"/>
      <family val="2"/>
    </font>
    <font>
      <sz val="15"/>
      <color rgb="FFA0FFCD"/>
      <name val="Arial Black"/>
      <family val="2"/>
    </font>
    <font>
      <sz val="15"/>
      <color rgb="FFE1C8FF"/>
      <name val="Arial Black"/>
      <family val="2"/>
    </font>
    <font>
      <sz val="9"/>
      <color indexed="81"/>
      <name val="Tahoma"/>
      <family val="2"/>
    </font>
    <font>
      <sz val="11"/>
      <color indexed="81"/>
      <name val="Tahoma"/>
      <family val="2"/>
    </font>
    <font>
      <b/>
      <sz val="12"/>
      <color indexed="81"/>
      <name val="Tahoma"/>
      <family val="2"/>
    </font>
    <font>
      <sz val="9"/>
      <color indexed="20"/>
      <name val="Tahoma"/>
      <family val="2"/>
    </font>
    <font>
      <b/>
      <sz val="12"/>
      <color rgb="FF009641"/>
      <name val="Tahoma"/>
      <family val="2"/>
    </font>
    <font>
      <i/>
      <sz val="12"/>
      <color rgb="FF009641"/>
      <name val="Tahoma"/>
      <family val="2"/>
    </font>
    <font>
      <sz val="14"/>
      <color theme="0"/>
      <name val="Wingdings 3"/>
      <family val="1"/>
      <charset val="2"/>
    </font>
    <font>
      <b/>
      <sz val="14.5"/>
      <color rgb="FF00B050"/>
      <name val="Arial Black"/>
      <family val="2"/>
    </font>
    <font>
      <sz val="17"/>
      <color rgb="FFC8FFE1"/>
      <name val="Arial Black"/>
      <family val="2"/>
    </font>
    <font>
      <sz val="22"/>
      <color rgb="FF5AFFA0"/>
      <name val="Arial Black"/>
      <family val="2"/>
    </font>
    <font>
      <b/>
      <i/>
      <sz val="18"/>
      <color rgb="FF371950"/>
      <name val="Tahoma"/>
      <family val="2"/>
    </font>
    <font>
      <sz val="10"/>
      <color theme="1"/>
      <name val="Arial"/>
      <family val="2"/>
    </font>
    <font>
      <sz val="9"/>
      <color theme="1"/>
      <name val="Arial Narrow"/>
      <family val="2"/>
    </font>
    <font>
      <b/>
      <sz val="20"/>
      <color theme="9" tint="-0.499984740745262"/>
      <name val="Tahoma"/>
      <family val="2"/>
    </font>
    <font>
      <b/>
      <sz val="16"/>
      <color rgb="FF00F587"/>
      <name val="Wingdings 3"/>
      <family val="1"/>
      <charset val="2"/>
    </font>
    <font>
      <b/>
      <sz val="22"/>
      <color rgb="FF00501E"/>
      <name val="Tahoma"/>
      <family val="2"/>
    </font>
    <font>
      <b/>
      <sz val="18"/>
      <color rgb="FF5AFFA0"/>
      <name val="Tahoma"/>
      <family val="2"/>
    </font>
    <font>
      <b/>
      <sz val="15"/>
      <color rgb="FF4B1E64"/>
      <name val="Arial Narrow"/>
      <family val="2"/>
    </font>
    <font>
      <b/>
      <sz val="15"/>
      <color theme="9" tint="-0.499984740745262"/>
      <name val="Arial Narrow"/>
      <family val="2"/>
    </font>
    <font>
      <sz val="10.5"/>
      <color theme="1"/>
      <name val="Tahoma"/>
      <family val="2"/>
    </font>
    <font>
      <sz val="10.5"/>
      <color theme="1"/>
      <name val="Arial"/>
      <family val="2"/>
    </font>
    <font>
      <sz val="13"/>
      <color theme="1"/>
      <name val="Arial"/>
      <family val="2"/>
    </font>
    <font>
      <sz val="9"/>
      <color rgb="FFF0CDFF"/>
      <name val="Arial Black"/>
      <family val="2"/>
    </font>
    <font>
      <b/>
      <sz val="9"/>
      <color theme="1"/>
      <name val="Arial"/>
      <family val="2"/>
    </font>
    <font>
      <sz val="9"/>
      <color theme="1"/>
      <name val="Tahoma"/>
      <family val="2"/>
    </font>
    <font>
      <sz val="9"/>
      <color theme="9" tint="-0.499984740745262"/>
      <name val="Arial"/>
      <family val="2"/>
    </font>
    <font>
      <b/>
      <sz val="9"/>
      <color rgb="FFC00000"/>
      <name val="Arial"/>
      <family val="2"/>
    </font>
    <font>
      <sz val="9"/>
      <color rgb="FF870000"/>
      <name val="Arial Narrow"/>
      <family val="2"/>
    </font>
    <font>
      <sz val="9"/>
      <color theme="1"/>
      <name val="Arial"/>
      <family val="2"/>
    </font>
    <font>
      <sz val="9"/>
      <color rgb="FF00501E"/>
      <name val="Arial Narrow"/>
      <family val="2"/>
    </font>
    <font>
      <b/>
      <sz val="9"/>
      <color rgb="FFC00000"/>
      <name val="Tahoma"/>
      <family val="2"/>
    </font>
    <font>
      <b/>
      <sz val="9"/>
      <color rgb="FF00B050"/>
      <name val="Tahoma"/>
      <family val="2"/>
    </font>
    <font>
      <b/>
      <sz val="9"/>
      <color theme="1"/>
      <name val="Arial Narrow"/>
      <family val="2"/>
    </font>
    <font>
      <sz val="9"/>
      <color rgb="FFC00000"/>
      <name val="Arial Narrow"/>
      <family val="2"/>
    </font>
    <font>
      <sz val="9"/>
      <color rgb="FFFF3C3C"/>
      <name val="Webdings"/>
      <family val="1"/>
      <charset val="2"/>
    </font>
    <font>
      <sz val="9"/>
      <color rgb="FF009641"/>
      <name val="Tahoma"/>
      <family val="2"/>
    </font>
    <font>
      <sz val="11.5"/>
      <color theme="1"/>
      <name val="Tahoma"/>
      <family val="2"/>
    </font>
    <font>
      <b/>
      <sz val="11"/>
      <color theme="0"/>
      <name val="Arial"/>
      <family val="2"/>
    </font>
    <font>
      <b/>
      <sz val="11"/>
      <color rgb="FFFFFF00"/>
      <name val="Arial"/>
      <family val="2"/>
    </font>
    <font>
      <sz val="10.5"/>
      <color rgb="FFFF9999"/>
      <name val="Arial"/>
      <family val="2"/>
    </font>
    <font>
      <i/>
      <sz val="10.5"/>
      <color rgb="FFFF9999"/>
      <name val="Arial"/>
      <family val="2"/>
    </font>
    <font>
      <sz val="10.5"/>
      <color rgb="FFFFFF00"/>
      <name val="Arial"/>
      <family val="2"/>
    </font>
    <font>
      <sz val="10.5"/>
      <color rgb="FFFF3C3C"/>
      <name val="Arial"/>
      <family val="2"/>
    </font>
    <font>
      <sz val="8"/>
      <color theme="0"/>
      <name val="Arial"/>
      <family val="2"/>
    </font>
    <font>
      <b/>
      <sz val="10"/>
      <color theme="1"/>
      <name val="Arial"/>
      <family val="2"/>
    </font>
    <font>
      <i/>
      <sz val="10"/>
      <color theme="1"/>
      <name val="Arial"/>
      <family val="2"/>
    </font>
    <font>
      <sz val="11"/>
      <color theme="9" tint="-0.499984740745262"/>
      <name val="Tahoma"/>
      <family val="2"/>
    </font>
    <font>
      <sz val="11"/>
      <color rgb="FF002060"/>
      <name val="Tahoma"/>
      <family val="2"/>
    </font>
    <font>
      <sz val="11"/>
      <color rgb="FF500000"/>
      <name val="Tahoma"/>
      <family val="2"/>
    </font>
    <font>
      <b/>
      <sz val="11.5"/>
      <color theme="1"/>
      <name val="Arial"/>
      <family val="2"/>
    </font>
    <font>
      <b/>
      <sz val="36"/>
      <color rgb="FFCCFFCC"/>
      <name val="Arial Black"/>
      <family val="2"/>
    </font>
    <font>
      <b/>
      <sz val="20"/>
      <color rgb="FFE1FFEB"/>
      <name val="Tahoma"/>
      <family val="2"/>
    </font>
    <font>
      <b/>
      <sz val="20"/>
      <color rgb="FFCCFFCC"/>
      <name val="Tahoma"/>
      <family val="2"/>
    </font>
    <font>
      <b/>
      <sz val="14"/>
      <color rgb="FF000000"/>
      <name val="Tahoma"/>
      <family val="2"/>
    </font>
    <font>
      <b/>
      <sz val="12"/>
      <color rgb="FF7030A0"/>
      <name val="Tahoma"/>
      <family val="2"/>
    </font>
    <font>
      <sz val="12"/>
      <color theme="1" tint="0.14999847407452621"/>
      <name val="Tahoma"/>
      <family val="2"/>
    </font>
    <font>
      <b/>
      <sz val="24"/>
      <color theme="9" tint="-0.499984740745262"/>
      <name val="Tahoma"/>
      <family val="2"/>
    </font>
    <font>
      <b/>
      <sz val="24"/>
      <color rgb="FF00823C"/>
      <name val="Tahoma"/>
      <family val="2"/>
    </font>
    <font>
      <b/>
      <sz val="24"/>
      <color rgb="FF7030A0"/>
      <name val="Tahoma"/>
      <family val="2"/>
    </font>
    <font>
      <sz val="14"/>
      <color rgb="FFB905FF"/>
      <name val="Wingdings 3"/>
      <family val="1"/>
      <charset val="2"/>
    </font>
    <font>
      <b/>
      <sz val="12"/>
      <color rgb="FF4B2364"/>
      <name val="Tahoma"/>
      <family val="2"/>
    </font>
    <font>
      <sz val="14"/>
      <color theme="10"/>
      <name val="Tahoma"/>
      <family val="2"/>
    </font>
    <font>
      <sz val="14"/>
      <color rgb="FF4B2364"/>
      <name val="Tahoma"/>
      <family val="2"/>
    </font>
    <font>
      <b/>
      <sz val="12"/>
      <color rgb="FF00823C"/>
      <name val="Tahoma"/>
      <family val="2"/>
    </font>
    <font>
      <b/>
      <i/>
      <sz val="10"/>
      <color rgb="FF00823C"/>
      <name val="Arial Narrow"/>
      <family val="2"/>
    </font>
    <font>
      <sz val="12"/>
      <color rgb="FF0070C0"/>
      <name val="Tahoma"/>
      <family val="2"/>
    </font>
    <font>
      <sz val="12"/>
      <color rgb="FFC00000"/>
      <name val="Tahoma"/>
      <family val="2"/>
    </font>
    <font>
      <b/>
      <sz val="28"/>
      <color rgb="FFE1FFEB"/>
      <name val="Tahoma"/>
      <family val="2"/>
    </font>
    <font>
      <sz val="12"/>
      <color theme="1"/>
      <name val="Cambria"/>
      <family val="1"/>
    </font>
    <font>
      <sz val="11"/>
      <color theme="1"/>
      <name val="Cambria"/>
      <family val="1"/>
    </font>
    <font>
      <b/>
      <sz val="12"/>
      <color theme="1"/>
      <name val="Cambria"/>
      <family val="1"/>
    </font>
    <font>
      <b/>
      <sz val="10"/>
      <color theme="1"/>
      <name val="Tahoma"/>
      <family val="2"/>
    </font>
    <font>
      <b/>
      <sz val="16"/>
      <color theme="1"/>
      <name val="Tahoma"/>
      <family val="2"/>
    </font>
    <font>
      <b/>
      <sz val="18"/>
      <color rgb="FF00823C"/>
      <name val="Tahoma"/>
      <family val="2"/>
    </font>
    <font>
      <b/>
      <sz val="22"/>
      <color rgb="FF7030A0"/>
      <name val="Tahoma"/>
      <family val="2"/>
    </font>
    <font>
      <b/>
      <sz val="18"/>
      <color rgb="FF00B050"/>
      <name val="Tahoma"/>
      <family val="2"/>
    </font>
    <font>
      <sz val="10"/>
      <color rgb="FFFF0000"/>
      <name val="Arial Narrow"/>
      <family val="2"/>
    </font>
    <font>
      <b/>
      <sz val="10"/>
      <color rgb="FFFF0000"/>
      <name val="Arial Narrow"/>
      <family val="2"/>
    </font>
    <font>
      <sz val="12"/>
      <color rgb="FF000000"/>
      <name val="Cambria"/>
      <family val="1"/>
    </font>
    <font>
      <sz val="12"/>
      <color rgb="FF000000"/>
      <name val="Arial Narrow"/>
      <family val="2"/>
    </font>
    <font>
      <strike/>
      <sz val="12"/>
      <color rgb="FFB905FF"/>
      <name val="Arial Narrow"/>
      <family val="2"/>
    </font>
    <font>
      <b/>
      <sz val="10"/>
      <color rgb="FFB905FF"/>
      <name val="Arial Narrow"/>
      <family val="2"/>
    </font>
    <font>
      <sz val="10"/>
      <color rgb="FFC00000"/>
      <name val="Arial Narrow"/>
      <family val="2"/>
    </font>
    <font>
      <sz val="8"/>
      <color rgb="FF0070C0"/>
      <name val="Arial Narrow"/>
      <family val="2"/>
    </font>
    <font>
      <sz val="10"/>
      <color rgb="FF000000"/>
      <name val="Arial Narrow"/>
      <family val="2"/>
    </font>
    <font>
      <sz val="9"/>
      <color rgb="FF0070C0"/>
      <name val="Agency FB"/>
      <family val="2"/>
    </font>
    <font>
      <sz val="9"/>
      <color rgb="FFC00000"/>
      <name val="Agency FB"/>
      <family val="2"/>
    </font>
    <font>
      <sz val="9.5"/>
      <color theme="1"/>
      <name val="Arial Narrow"/>
      <family val="2"/>
    </font>
    <font>
      <sz val="8"/>
      <color rgb="FFC00000"/>
      <name val="Arial Narrow"/>
      <family val="2"/>
    </font>
    <font>
      <sz val="8.5"/>
      <color rgb="FF0070C0"/>
      <name val="Arial Narrow"/>
      <family val="2"/>
    </font>
    <font>
      <sz val="8.5"/>
      <color rgb="FFC00000"/>
      <name val="Arial Narrow"/>
      <family val="2"/>
    </font>
    <font>
      <sz val="8"/>
      <color rgb="FF00823C"/>
      <name val="Bahnschrift"/>
      <family val="2"/>
    </font>
    <font>
      <i/>
      <sz val="9"/>
      <color rgb="FF0070C0"/>
      <name val="Arial Narrow"/>
      <family val="2"/>
    </font>
    <font>
      <i/>
      <sz val="9"/>
      <color rgb="FFC00000"/>
      <name val="Arial Narrow"/>
      <family val="2"/>
    </font>
    <font>
      <sz val="9"/>
      <color rgb="FF00823C"/>
      <name val="Agency FB"/>
      <family val="2"/>
    </font>
    <font>
      <b/>
      <sz val="10"/>
      <color rgb="FF00823C"/>
      <name val="Arial Narrow"/>
      <family val="2"/>
    </font>
    <font>
      <b/>
      <sz val="11"/>
      <color theme="1"/>
      <name val="Tahoma"/>
      <family val="2"/>
    </font>
    <font>
      <b/>
      <i/>
      <sz val="12"/>
      <color theme="1"/>
      <name val="Cambria"/>
      <family val="1"/>
    </font>
    <font>
      <i/>
      <sz val="12"/>
      <color theme="1"/>
      <name val="Cambria"/>
      <family val="1"/>
    </font>
    <font>
      <sz val="12"/>
      <color rgb="FF0070C0"/>
      <name val="Cambria"/>
      <family val="1"/>
    </font>
    <font>
      <vertAlign val="superscript"/>
      <sz val="12"/>
      <color rgb="FF0070C0"/>
      <name val="Cambria"/>
      <family val="1"/>
    </font>
    <font>
      <i/>
      <sz val="11"/>
      <color theme="1"/>
      <name val="Cambria"/>
      <family val="1"/>
    </font>
    <font>
      <b/>
      <sz val="11"/>
      <color theme="1"/>
      <name val="Cambria"/>
      <family val="1"/>
    </font>
    <font>
      <sz val="10"/>
      <color rgb="FF7030A0"/>
      <name val="Arial Narrow"/>
      <family val="2"/>
    </font>
    <font>
      <b/>
      <sz val="10"/>
      <color rgb="FF7030A0"/>
      <name val="Arial Narrow"/>
      <family val="2"/>
    </font>
    <font>
      <b/>
      <sz val="12"/>
      <color rgb="FF000000"/>
      <name val="Cambria"/>
      <family val="1"/>
    </font>
    <font>
      <i/>
      <sz val="12"/>
      <color rgb="FF000000"/>
      <name val="Cambria"/>
      <family val="1"/>
    </font>
    <font>
      <b/>
      <sz val="22"/>
      <color rgb="FF009646"/>
      <name val="Tahoma"/>
      <family val="2"/>
    </font>
    <font>
      <sz val="10"/>
      <color rgb="FF009646"/>
      <name val="Arial Black"/>
      <family val="2"/>
    </font>
    <font>
      <sz val="10"/>
      <color rgb="FF7030A0"/>
      <name val="Arial Black"/>
      <family val="2"/>
    </font>
    <font>
      <b/>
      <sz val="9"/>
      <color indexed="81"/>
      <name val="Tahoma"/>
      <family val="2"/>
    </font>
    <font>
      <b/>
      <sz val="11.5"/>
      <color theme="1"/>
      <name val="Tahoma"/>
      <family val="2"/>
    </font>
    <font>
      <sz val="10"/>
      <color rgb="FF009646"/>
      <name val="Arial Narrow"/>
      <family val="2"/>
    </font>
    <font>
      <sz val="20"/>
      <color rgb="FF009646"/>
      <name val="Arial Black"/>
      <family val="2"/>
    </font>
    <font>
      <sz val="12"/>
      <color rgb="FF009646"/>
      <name val="Tahoma"/>
      <family val="2"/>
    </font>
    <font>
      <sz val="12"/>
      <color theme="10"/>
      <name val="Cambria"/>
      <family val="1"/>
    </font>
    <font>
      <sz val="12"/>
      <name val="Cambria"/>
      <family val="1"/>
    </font>
    <font>
      <b/>
      <i/>
      <sz val="11"/>
      <color theme="1"/>
      <name val="Cambria"/>
      <family val="1"/>
    </font>
    <font>
      <sz val="10"/>
      <color theme="1"/>
      <name val="Cambria"/>
      <family val="1"/>
    </font>
    <font>
      <b/>
      <sz val="10"/>
      <color theme="1"/>
      <name val="Cambria"/>
      <family val="1"/>
    </font>
    <font>
      <sz val="10"/>
      <color theme="1"/>
      <name val="Cambria"/>
      <family val="2"/>
    </font>
    <font>
      <b/>
      <sz val="13"/>
      <color theme="1"/>
      <name val="Tahoma"/>
      <family val="2"/>
    </font>
    <font>
      <b/>
      <sz val="13"/>
      <color rgb="FF7030A0"/>
      <name val="Tahoma"/>
      <family val="2"/>
    </font>
    <font>
      <b/>
      <sz val="13"/>
      <color theme="9" tint="-0.249977111117893"/>
      <name val="Tahoma"/>
      <family val="2"/>
    </font>
    <font>
      <sz val="9"/>
      <color theme="0" tint="-0.249977111117893"/>
      <name val="Verdana Pro Black"/>
      <family val="2"/>
    </font>
    <font>
      <sz val="7"/>
      <color rgb="FF009646"/>
      <name val="Webdings"/>
      <family val="1"/>
      <charset val="2"/>
    </font>
    <font>
      <b/>
      <sz val="13"/>
      <color rgb="FF009646"/>
      <name val="Tahoma"/>
      <family val="2"/>
    </font>
    <font>
      <b/>
      <sz val="12"/>
      <color rgb="FFFF99FF"/>
      <name val="Tahoma"/>
      <family val="2"/>
    </font>
    <font>
      <b/>
      <sz val="12"/>
      <color theme="9" tint="0.39997558519241921"/>
      <name val="Tahoma"/>
      <family val="2"/>
    </font>
    <font>
      <b/>
      <sz val="12"/>
      <color rgb="FFFF00FF"/>
      <name val="Tahoma"/>
      <family val="2"/>
    </font>
    <font>
      <b/>
      <sz val="12"/>
      <color theme="0" tint="-0.34998626667073579"/>
      <name val="Tahoma"/>
      <family val="2"/>
    </font>
    <font>
      <b/>
      <sz val="25"/>
      <color theme="1"/>
      <name val="Tahoma"/>
      <family val="2"/>
    </font>
    <font>
      <b/>
      <sz val="25"/>
      <color rgb="FFA5FFC8"/>
      <name val="Tahoma"/>
      <family val="2"/>
    </font>
    <font>
      <b/>
      <sz val="25"/>
      <color rgb="FFFF99FF"/>
      <name val="Tahoma"/>
      <family val="2"/>
    </font>
    <font>
      <b/>
      <sz val="25"/>
      <color theme="0" tint="-0.34998626667073579"/>
      <name val="Tahoma"/>
      <family val="2"/>
    </font>
    <font>
      <b/>
      <sz val="26"/>
      <color rgb="FFE1FFEB"/>
      <name val="Tahoma"/>
      <family val="2"/>
    </font>
    <font>
      <i/>
      <sz val="10"/>
      <color theme="1"/>
      <name val="Cambria"/>
      <family val="1"/>
    </font>
    <font>
      <sz val="10"/>
      <color rgb="FF910000"/>
      <name val="Cambria"/>
      <family val="1"/>
    </font>
    <font>
      <sz val="10"/>
      <color rgb="FF003CB4"/>
      <name val="Cambria"/>
      <family val="1"/>
    </font>
    <font>
      <sz val="14"/>
      <color theme="1"/>
      <name val="Arial Narrow"/>
      <family val="2"/>
    </font>
    <font>
      <sz val="10"/>
      <color rgb="FFFFCCFF"/>
      <name val="Arial Narrow"/>
      <family val="2"/>
    </font>
    <font>
      <sz val="11"/>
      <color rgb="FF009646"/>
      <name val="Arial"/>
      <family val="2"/>
    </font>
    <font>
      <b/>
      <sz val="8"/>
      <color theme="1"/>
      <name val="Arial Narrow"/>
      <family val="2"/>
    </font>
    <font>
      <b/>
      <sz val="22"/>
      <color rgb="FF004B1E"/>
      <name val="Tahoma"/>
      <family val="2"/>
    </font>
    <font>
      <vertAlign val="superscript"/>
      <sz val="9"/>
      <color theme="1"/>
      <name val="Arial Narrow"/>
      <family val="2"/>
    </font>
    <font>
      <sz val="9"/>
      <color theme="10"/>
      <name val="Arial Narrow"/>
      <family val="2"/>
    </font>
    <font>
      <sz val="14"/>
      <name val="Tahoma"/>
      <family val="2"/>
    </font>
    <font>
      <sz val="12"/>
      <name val="Tahoma"/>
      <family val="2"/>
    </font>
    <font>
      <sz val="14"/>
      <color theme="1" tint="0.499984740745262"/>
      <name val="Tahoma"/>
      <family val="2"/>
    </font>
    <font>
      <sz val="11"/>
      <color theme="1" tint="0.499984740745262"/>
      <name val="Tahoma"/>
      <family val="2"/>
    </font>
    <font>
      <sz val="10"/>
      <color rgb="FFFF99FF"/>
      <name val="Arial Narrow"/>
      <family val="2"/>
    </font>
    <font>
      <b/>
      <sz val="16"/>
      <color rgb="FF00B050"/>
      <name val="Tahoma"/>
      <family val="2"/>
    </font>
    <font>
      <b/>
      <sz val="11"/>
      <color rgb="FF009646"/>
      <name val="Arial"/>
      <family val="2"/>
    </font>
    <font>
      <b/>
      <sz val="22"/>
      <color rgb="FF00823C"/>
      <name val="Tahoma"/>
      <family val="2"/>
    </font>
    <font>
      <b/>
      <sz val="13"/>
      <color rgb="FF4B2364"/>
      <name val="Tahoma"/>
      <family val="2"/>
    </font>
    <font>
      <i/>
      <sz val="10.5"/>
      <color theme="1"/>
      <name val="Tahoma"/>
      <family val="2"/>
    </font>
    <font>
      <b/>
      <sz val="22"/>
      <color rgb="FF1E5A28"/>
      <name val="Tahoma"/>
      <family val="2"/>
    </font>
    <font>
      <b/>
      <sz val="22"/>
      <color theme="9" tint="-0.499984740745262"/>
      <name val="Tahoma"/>
      <family val="2"/>
    </font>
    <font>
      <b/>
      <sz val="12"/>
      <color rgb="FF000000"/>
      <name val="Arial Narrow"/>
      <family val="2"/>
    </font>
    <font>
      <b/>
      <sz val="14"/>
      <color theme="1"/>
      <name val="Cambria"/>
      <family val="1"/>
    </font>
    <font>
      <b/>
      <sz val="16"/>
      <color indexed="81"/>
      <name val="Tahoma"/>
      <family val="2"/>
    </font>
    <font>
      <sz val="10"/>
      <color indexed="81"/>
      <name val="Tahoma"/>
      <family val="2"/>
    </font>
    <font>
      <sz val="10"/>
      <color indexed="81"/>
      <name val="Times New Roman"/>
      <family val="1"/>
    </font>
    <font>
      <b/>
      <sz val="16"/>
      <color indexed="55"/>
      <name val="Tahoma"/>
      <family val="2"/>
    </font>
    <font>
      <sz val="9"/>
      <color indexed="55"/>
      <name val="Tahoma"/>
      <family val="2"/>
    </font>
    <font>
      <b/>
      <sz val="16"/>
      <color indexed="20"/>
      <name val="Tahoma"/>
      <family val="2"/>
    </font>
    <font>
      <b/>
      <sz val="22"/>
      <color rgb="FF00B050"/>
      <name val="Tahoma"/>
      <family val="2"/>
    </font>
    <font>
      <sz val="14"/>
      <color theme="1"/>
      <name val="Cambria"/>
      <family val="1"/>
    </font>
    <font>
      <sz val="13"/>
      <color theme="1"/>
      <name val="Cambria"/>
      <family val="1"/>
    </font>
    <font>
      <b/>
      <sz val="12"/>
      <color rgb="FF0070C0"/>
      <name val="Verdana"/>
      <family val="2"/>
    </font>
    <font>
      <b/>
      <sz val="12"/>
      <color rgb="FFC00000"/>
      <name val="Verdana"/>
      <family val="2"/>
    </font>
    <font>
      <sz val="12"/>
      <color rgb="FFC00000"/>
      <name val="Cambria"/>
      <family val="1"/>
    </font>
    <font>
      <sz val="13"/>
      <color theme="1"/>
      <name val="Cambria"/>
      <family val="2"/>
    </font>
    <font>
      <b/>
      <sz val="13"/>
      <color theme="1"/>
      <name val="Arial"/>
      <family val="2"/>
    </font>
    <font>
      <i/>
      <sz val="13"/>
      <color theme="1"/>
      <name val="Cambria"/>
      <family val="1"/>
    </font>
    <font>
      <b/>
      <sz val="13"/>
      <color theme="1"/>
      <name val="Cambria"/>
      <family val="1"/>
    </font>
    <font>
      <b/>
      <sz val="12"/>
      <color rgb="FF002060"/>
      <name val="Verdana"/>
      <family val="2"/>
    </font>
    <font>
      <b/>
      <sz val="12"/>
      <color rgb="FF820000"/>
      <name val="Verdana"/>
      <family val="2"/>
    </font>
    <font>
      <b/>
      <sz val="20"/>
      <color rgb="FFFFFF00"/>
      <name val="Verdana"/>
      <family val="2"/>
    </font>
    <font>
      <b/>
      <sz val="20"/>
      <color rgb="FFC8FFDC"/>
      <name val="Verdana"/>
      <family val="2"/>
    </font>
    <font>
      <b/>
      <sz val="12"/>
      <name val="Cambria"/>
      <family val="1"/>
    </font>
    <font>
      <sz val="11"/>
      <color rgb="FF000000"/>
      <name val="Cambria"/>
      <family val="1"/>
    </font>
    <font>
      <b/>
      <u/>
      <sz val="11"/>
      <color theme="1"/>
      <name val="Cambria"/>
      <family val="1"/>
    </font>
    <font>
      <b/>
      <sz val="18"/>
      <color rgb="FF00501E"/>
      <name val="Tahoma"/>
      <family val="2"/>
    </font>
    <font>
      <sz val="10"/>
      <color rgb="FFFF66FF"/>
      <name val="Arial Narrow"/>
      <family val="2"/>
    </font>
    <font>
      <b/>
      <sz val="16"/>
      <color rgb="FFFF66FF"/>
      <name val="Wingdings 3"/>
      <family val="1"/>
      <charset val="2"/>
    </font>
    <font>
      <b/>
      <sz val="16"/>
      <color rgb="FF00823C"/>
      <name val="Wingdings 3"/>
      <family val="1"/>
      <charset val="2"/>
    </font>
    <font>
      <sz val="10"/>
      <color rgb="FF00823C"/>
      <name val="Arial Narrow"/>
      <family val="2"/>
    </font>
    <font>
      <b/>
      <sz val="22"/>
      <color rgb="FFFFCCFF"/>
      <name val="Tahoma"/>
      <family val="2"/>
    </font>
    <font>
      <sz val="12"/>
      <color rgb="FF1E5A28"/>
      <name val="Cambria"/>
      <family val="1"/>
    </font>
    <font>
      <sz val="12"/>
      <color rgb="FF780091"/>
      <name val="Cambria"/>
      <family val="1"/>
    </font>
    <font>
      <sz val="12"/>
      <color rgb="FF780091"/>
      <name val="Verdana Pro Black"/>
      <family val="2"/>
    </font>
    <font>
      <sz val="13"/>
      <color theme="1"/>
      <name val="Tahoma"/>
      <family val="2"/>
    </font>
    <font>
      <sz val="13"/>
      <color rgb="FF780091"/>
      <name val="Tahoma"/>
      <family val="2"/>
    </font>
    <font>
      <b/>
      <sz val="12"/>
      <color theme="10"/>
      <name val="Cambria"/>
      <family val="1"/>
    </font>
    <font>
      <i/>
      <sz val="12"/>
      <name val="Cambria"/>
      <family val="1"/>
    </font>
    <font>
      <sz val="11"/>
      <color rgb="FF009646"/>
      <name val="Arial Narrow"/>
      <family val="2"/>
    </font>
    <font>
      <b/>
      <sz val="16"/>
      <color rgb="FF1E5A28"/>
      <name val="Tahoma"/>
      <family val="2"/>
    </font>
    <font>
      <b/>
      <sz val="11"/>
      <color rgb="FF1E5A28"/>
      <name val="Tahoma"/>
      <family val="2"/>
    </font>
    <font>
      <sz val="10"/>
      <color rgb="FF0070C0"/>
      <name val="Arial Black"/>
      <family val="2"/>
    </font>
    <font>
      <sz val="10"/>
      <color rgb="FFC00000"/>
      <name val="Arial Black"/>
      <family val="2"/>
    </font>
    <font>
      <b/>
      <sz val="10"/>
      <color rgb="FF780091"/>
      <name val="Arial Narrow"/>
      <family val="2"/>
    </font>
    <font>
      <b/>
      <sz val="15"/>
      <color theme="1"/>
      <name val="Tahoma"/>
      <family val="2"/>
    </font>
    <font>
      <b/>
      <sz val="14"/>
      <color rgb="FF002060"/>
      <name val="Tahoma"/>
      <family val="2"/>
    </font>
    <font>
      <b/>
      <sz val="14"/>
      <color rgb="FF730000"/>
      <name val="Tahoma"/>
      <family val="2"/>
    </font>
    <font>
      <sz val="12.5"/>
      <color theme="1"/>
      <name val="Cambria"/>
      <family val="1"/>
    </font>
    <font>
      <b/>
      <sz val="11"/>
      <color rgb="FF5A2882"/>
      <name val="Tahoma"/>
      <family val="2"/>
    </font>
    <font>
      <sz val="11.5"/>
      <color theme="1"/>
      <name val="Arial"/>
      <family val="2"/>
    </font>
    <font>
      <b/>
      <sz val="10"/>
      <color indexed="81"/>
      <name val="Tahoma"/>
      <family val="2"/>
    </font>
    <font>
      <b/>
      <i/>
      <sz val="9"/>
      <color indexed="81"/>
      <name val="Tahoma"/>
      <family val="2"/>
    </font>
    <font>
      <sz val="10"/>
      <color rgb="FF780091"/>
      <name val="Wingdings 3"/>
      <family val="1"/>
      <charset val="2"/>
    </font>
    <font>
      <sz val="10"/>
      <color rgb="FF00B0F0"/>
      <name val="Arial Black"/>
      <family val="2"/>
    </font>
    <font>
      <sz val="10"/>
      <color theme="5" tint="0.39997558519241921"/>
      <name val="Arial Black"/>
      <family val="2"/>
    </font>
    <font>
      <sz val="16"/>
      <color rgb="FFFFCCCC"/>
      <name val="Tahoma"/>
      <family val="2"/>
    </font>
    <font>
      <strike/>
      <sz val="10"/>
      <color rgb="FF00B050"/>
      <name val="Arial Narrow"/>
      <family val="2"/>
    </font>
    <font>
      <b/>
      <strike/>
      <sz val="10"/>
      <color rgb="FF00B050"/>
      <name val="Arial Narrow"/>
      <family val="2"/>
    </font>
    <font>
      <b/>
      <sz val="11.5"/>
      <color rgb="FF002060"/>
      <name val="Verdana"/>
      <family val="2"/>
    </font>
    <font>
      <b/>
      <sz val="11.5"/>
      <color rgb="FF820000"/>
      <name val="Verdana"/>
      <family val="2"/>
    </font>
    <font>
      <b/>
      <i/>
      <sz val="12.5"/>
      <color theme="1"/>
      <name val="Cambria"/>
      <family val="1"/>
    </font>
    <font>
      <b/>
      <sz val="14"/>
      <color rgb="FF1E5A28"/>
      <name val="Tahoma"/>
      <family val="2"/>
    </font>
    <font>
      <sz val="14"/>
      <color rgb="FF1E5A28"/>
      <name val="Tahoma"/>
      <family val="2"/>
    </font>
    <font>
      <sz val="10"/>
      <color rgb="FF1E5A28"/>
      <name val="Arial Narrow"/>
      <family val="2"/>
    </font>
    <font>
      <b/>
      <sz val="14"/>
      <color rgb="FF780091"/>
      <name val="Tahoma"/>
      <family val="2"/>
    </font>
    <font>
      <sz val="13"/>
      <color rgb="FF780091"/>
      <name val="Arial"/>
      <family val="2"/>
    </font>
    <font>
      <b/>
      <i/>
      <sz val="16"/>
      <color theme="1"/>
      <name val="Tahoma"/>
      <family val="2"/>
    </font>
    <font>
      <b/>
      <sz val="14"/>
      <color theme="1"/>
      <name val="Arial Narrow"/>
      <family val="2"/>
    </font>
    <font>
      <b/>
      <sz val="13.5"/>
      <color theme="1"/>
      <name val="Arial Narrow"/>
      <family val="2"/>
    </font>
    <font>
      <b/>
      <sz val="14"/>
      <color rgb="FF780091"/>
      <name val="Arial"/>
      <family val="2"/>
    </font>
    <font>
      <b/>
      <sz val="10"/>
      <color indexed="81"/>
      <name val="Arial"/>
      <family val="2"/>
    </font>
    <font>
      <b/>
      <sz val="10"/>
      <color indexed="58"/>
      <name val="Arial"/>
      <family val="2"/>
    </font>
    <font>
      <b/>
      <sz val="12"/>
      <color rgb="FF780091"/>
      <name val="Tahoma"/>
      <family val="2"/>
    </font>
    <font>
      <sz val="12"/>
      <color rgb="FF00823C"/>
      <name val="Cambria"/>
      <family val="1"/>
    </font>
    <font>
      <u/>
      <sz val="10"/>
      <color theme="1"/>
      <name val="Arial Narrow"/>
      <family val="2"/>
    </font>
    <font>
      <b/>
      <sz val="11"/>
      <color indexed="81"/>
      <name val="Tahoma"/>
      <family val="2"/>
    </font>
    <font>
      <b/>
      <sz val="9"/>
      <color indexed="16"/>
      <name val="Tahoma"/>
      <family val="2"/>
    </font>
    <font>
      <sz val="9"/>
      <color indexed="16"/>
      <name val="Tahoma"/>
      <family val="2"/>
    </font>
    <font>
      <i/>
      <sz val="13"/>
      <color theme="1"/>
      <name val="Tahoma"/>
      <family val="2"/>
    </font>
    <font>
      <sz val="11"/>
      <color indexed="81"/>
      <name val="Times New Roman"/>
      <family val="1"/>
    </font>
    <font>
      <b/>
      <sz val="10"/>
      <color rgb="FF2BFF8C"/>
      <name val="Arial Narrow"/>
      <family val="2"/>
    </font>
    <font>
      <sz val="10"/>
      <color rgb="FF2BFF8C"/>
      <name val="Arial Narrow"/>
      <family val="2"/>
    </font>
    <font>
      <sz val="16"/>
      <color rgb="FF2BFF8C"/>
      <name val="Wingdings 3"/>
      <family val="1"/>
      <charset val="2"/>
    </font>
    <font>
      <b/>
      <sz val="16"/>
      <color rgb="FFD2FFE6"/>
      <name val="Tahoma"/>
      <family val="2"/>
    </font>
    <font>
      <b/>
      <sz val="14"/>
      <color rgb="FF2BFF8C"/>
      <name val="Arial"/>
      <family val="2"/>
    </font>
    <font>
      <b/>
      <sz val="16"/>
      <color rgb="FFA5FFC8"/>
      <name val="Tahoma"/>
      <family val="2"/>
    </font>
    <font>
      <sz val="10"/>
      <color rgb="FFA5FFC8"/>
      <name val="Arial Narrow"/>
      <family val="2"/>
    </font>
    <font>
      <b/>
      <u/>
      <sz val="11"/>
      <color rgb="FFA5FFC8"/>
      <name val="Arial"/>
      <family val="2"/>
    </font>
    <font>
      <sz val="12"/>
      <color rgb="FFA5FFC8"/>
      <name val="Cambria"/>
      <family val="1"/>
    </font>
    <font>
      <b/>
      <u/>
      <sz val="11"/>
      <color rgb="FF00B050"/>
      <name val="Arial"/>
      <family val="2"/>
    </font>
    <font>
      <b/>
      <sz val="9"/>
      <color indexed="21"/>
      <name val="Verdana"/>
      <family val="2"/>
    </font>
    <font>
      <b/>
      <sz val="8"/>
      <color indexed="21"/>
      <name val="Verdana"/>
      <family val="2"/>
    </font>
    <font>
      <sz val="9"/>
      <color rgb="FFA5FFC8"/>
      <name val="Arial Black"/>
      <family val="2"/>
    </font>
    <font>
      <sz val="9"/>
      <color rgb="FFA5FFC8"/>
      <name val="Arial Narrow"/>
      <family val="2"/>
    </font>
    <font>
      <b/>
      <sz val="14"/>
      <color rgb="FFD2FFE6"/>
      <name val="Arial"/>
      <family val="2"/>
    </font>
    <font>
      <b/>
      <sz val="16"/>
      <color indexed="17"/>
      <name val="Tahoma"/>
      <family val="2"/>
    </font>
    <font>
      <sz val="12"/>
      <color indexed="81"/>
      <name val="Cambria"/>
      <family val="1"/>
    </font>
    <font>
      <b/>
      <sz val="12"/>
      <color indexed="81"/>
      <name val="Cambria"/>
      <family val="1"/>
    </font>
    <font>
      <b/>
      <sz val="12"/>
      <color indexed="54"/>
      <name val="Cambria"/>
      <family val="1"/>
    </font>
    <font>
      <b/>
      <i/>
      <sz val="13"/>
      <color theme="1"/>
      <name val="Tahoma"/>
      <family val="2"/>
    </font>
    <font>
      <b/>
      <sz val="11"/>
      <color indexed="81"/>
      <name val="Times New Roman"/>
      <family val="1"/>
    </font>
    <font>
      <b/>
      <i/>
      <sz val="16"/>
      <color indexed="17"/>
      <name val="Tahoma"/>
      <family val="2"/>
    </font>
    <font>
      <sz val="12"/>
      <color indexed="81"/>
      <name val="Times New Roman"/>
      <family val="1"/>
    </font>
    <font>
      <sz val="12"/>
      <color indexed="81"/>
      <name val="Tahoma"/>
      <family val="2"/>
    </font>
    <font>
      <sz val="8"/>
      <color indexed="81"/>
      <name val="Arial Black"/>
      <family val="2"/>
    </font>
    <font>
      <sz val="8"/>
      <color indexed="17"/>
      <name val="Arial Black"/>
      <family val="2"/>
    </font>
    <font>
      <sz val="8"/>
      <color indexed="20"/>
      <name val="Arial Black"/>
      <family val="2"/>
    </font>
    <font>
      <b/>
      <sz val="11"/>
      <color indexed="58"/>
      <name val="Tahoma"/>
      <family val="2"/>
    </font>
    <font>
      <b/>
      <sz val="11"/>
      <color indexed="17"/>
      <name val="Tahoma"/>
      <family val="2"/>
    </font>
    <font>
      <b/>
      <sz val="14"/>
      <color indexed="20"/>
      <name val="Tahoma"/>
      <family val="2"/>
    </font>
    <font>
      <b/>
      <u val="double"/>
      <sz val="12"/>
      <color rgb="FF780091"/>
      <name val="Tahoma"/>
      <family val="2"/>
    </font>
    <font>
      <sz val="11"/>
      <color indexed="20"/>
      <name val="Tahoma"/>
      <family val="2"/>
    </font>
    <font>
      <b/>
      <sz val="12"/>
      <color indexed="20"/>
      <name val="Tahoma"/>
      <family val="2"/>
    </font>
    <font>
      <b/>
      <sz val="11"/>
      <color indexed="23"/>
      <name val="Tahoma"/>
      <family val="2"/>
    </font>
    <font>
      <sz val="11"/>
      <color indexed="23"/>
      <name val="Tahoma"/>
      <family val="2"/>
    </font>
    <font>
      <sz val="10"/>
      <color indexed="23"/>
      <name val="Tahoma"/>
      <family val="2"/>
    </font>
    <font>
      <sz val="14"/>
      <color indexed="20"/>
      <name val="Tahoma"/>
      <family val="2"/>
    </font>
    <font>
      <sz val="12"/>
      <color indexed="20"/>
      <name val="Tahoma"/>
      <family val="2"/>
    </font>
    <font>
      <i/>
      <sz val="12"/>
      <color indexed="20"/>
      <name val="Tahoma"/>
      <family val="2"/>
    </font>
    <font>
      <sz val="11"/>
      <color rgb="FF00823C"/>
      <name val="Arial"/>
      <family val="2"/>
    </font>
    <font>
      <b/>
      <sz val="14"/>
      <color indexed="81"/>
      <name val="Tahoma"/>
      <family val="2"/>
    </font>
    <font>
      <b/>
      <i/>
      <sz val="14"/>
      <color indexed="81"/>
      <name val="Tahoma"/>
      <family val="2"/>
    </font>
    <font>
      <b/>
      <sz val="10"/>
      <color rgb="FF00823C"/>
      <name val="Tahoma"/>
      <family val="2"/>
    </font>
    <font>
      <sz val="11"/>
      <color theme="1"/>
      <name val="Times New Roman"/>
      <family val="1"/>
    </font>
    <font>
      <b/>
      <sz val="10"/>
      <color rgb="FF00823C"/>
      <name val="Arial"/>
      <family val="2"/>
    </font>
    <font>
      <b/>
      <sz val="18"/>
      <color rgb="FF4B0064"/>
      <name val="Tahoma"/>
      <family val="2"/>
    </font>
    <font>
      <sz val="12.5"/>
      <color rgb="FF4B0064"/>
      <name val="Arial Narrow"/>
      <family val="2"/>
    </font>
    <font>
      <i/>
      <sz val="10"/>
      <color theme="1"/>
      <name val="Arial Narrow"/>
      <family val="2"/>
    </font>
    <font>
      <b/>
      <sz val="16"/>
      <color theme="0" tint="-0.34998626667073579"/>
      <name val="Tahoma"/>
      <family val="2"/>
    </font>
    <font>
      <b/>
      <i/>
      <sz val="12"/>
      <color theme="0" tint="-0.499984740745262"/>
      <name val="Tahoma"/>
      <family val="2"/>
    </font>
    <font>
      <sz val="10"/>
      <color rgb="FF00823C"/>
      <name val="Arial Black"/>
      <family val="2"/>
    </font>
    <font>
      <sz val="10"/>
      <color rgb="FF780091"/>
      <name val="Arial Black"/>
      <family val="2"/>
    </font>
    <font>
      <sz val="9"/>
      <color rgb="FF009646"/>
      <name val="Arial Narrow"/>
      <family val="2"/>
    </font>
    <font>
      <b/>
      <sz val="22"/>
      <color rgb="FFD2FFE6"/>
      <name val="Tahoma"/>
      <family val="2"/>
    </font>
    <font>
      <b/>
      <i/>
      <sz val="18"/>
      <color rgb="FF00B050"/>
      <name val="Tahoma"/>
      <family val="2"/>
    </font>
    <font>
      <b/>
      <sz val="11.5"/>
      <color rgb="FF1E5A28"/>
      <name val="Tahoma"/>
      <family val="2"/>
    </font>
    <font>
      <b/>
      <sz val="11.5"/>
      <color rgb="FF7030A0"/>
      <name val="Tahoma"/>
      <family val="2"/>
    </font>
    <font>
      <sz val="10.5"/>
      <color rgb="FF780091"/>
      <name val="Arial Narrow"/>
      <family val="2"/>
    </font>
    <font>
      <sz val="10.5"/>
      <color rgb="FFCC00CC"/>
      <name val="Arial Narrow"/>
      <family val="2"/>
    </font>
    <font>
      <b/>
      <sz val="15"/>
      <color rgb="FFC00000"/>
      <name val="Tahoma"/>
      <family val="2"/>
    </font>
    <font>
      <b/>
      <sz val="15"/>
      <color rgb="FF002060"/>
      <name val="Tahoma"/>
      <family val="2"/>
    </font>
    <font>
      <b/>
      <sz val="14"/>
      <color indexed="9"/>
      <name val="Tahoma"/>
      <family val="2"/>
    </font>
    <font>
      <sz val="9"/>
      <color indexed="9"/>
      <name val="Tahoma"/>
      <family val="2"/>
    </font>
    <font>
      <sz val="11"/>
      <color indexed="9"/>
      <name val="Tahoma"/>
      <family val="2"/>
    </font>
    <font>
      <sz val="12"/>
      <color rgb="FF99FF99"/>
      <name val="Cambria"/>
      <family val="1"/>
    </font>
    <font>
      <sz val="10"/>
      <color rgb="FF99FF99"/>
      <name val="Arial Narrow"/>
      <family val="2"/>
    </font>
    <font>
      <sz val="12"/>
      <color rgb="FF99FF99"/>
      <name val="Tahoma"/>
      <family val="2"/>
    </font>
    <font>
      <b/>
      <i/>
      <sz val="12"/>
      <color rgb="FF99FF99"/>
      <name val="Cambria"/>
      <family val="1"/>
    </font>
    <font>
      <b/>
      <sz val="20"/>
      <color rgb="FF1E5A28"/>
      <name val="Tahoma"/>
      <family val="2"/>
    </font>
    <font>
      <i/>
      <sz val="12"/>
      <color theme="1"/>
      <name val="Tahoma"/>
      <family val="2"/>
    </font>
    <font>
      <sz val="10"/>
      <color theme="0"/>
      <name val="Arial Narrow"/>
      <family val="2"/>
    </font>
    <font>
      <sz val="20"/>
      <color rgb="FFF0CDFF"/>
      <name val="Arial Black"/>
      <family val="2"/>
    </font>
  </fonts>
  <fills count="67">
    <fill>
      <patternFill patternType="none"/>
    </fill>
    <fill>
      <patternFill patternType="gray125"/>
    </fill>
    <fill>
      <patternFill patternType="solid">
        <fgColor rgb="FFC896FF"/>
        <bgColor indexed="64"/>
      </patternFill>
    </fill>
    <fill>
      <patternFill patternType="solid">
        <fgColor theme="9" tint="0.59999389629810485"/>
        <bgColor indexed="64"/>
      </patternFill>
    </fill>
    <fill>
      <patternFill patternType="solid">
        <fgColor theme="0"/>
        <bgColor indexed="64"/>
      </patternFill>
    </fill>
    <fill>
      <patternFill patternType="solid">
        <fgColor theme="9" tint="0.79998168889431442"/>
        <bgColor indexed="64"/>
      </patternFill>
    </fill>
    <fill>
      <patternFill patternType="solid">
        <fgColor rgb="FFE0C1FF"/>
        <bgColor indexed="64"/>
      </patternFill>
    </fill>
    <fill>
      <patternFill patternType="solid">
        <fgColor theme="8" tint="0.79998168889431442"/>
        <bgColor indexed="64"/>
      </patternFill>
    </fill>
    <fill>
      <patternFill patternType="solid">
        <fgColor rgb="FFA0FFC8"/>
        <bgColor indexed="64"/>
      </patternFill>
    </fill>
    <fill>
      <patternFill patternType="solid">
        <fgColor rgb="FFD2FFE6"/>
        <bgColor indexed="64"/>
      </patternFill>
    </fill>
    <fill>
      <patternFill patternType="solid">
        <fgColor theme="9" tint="-0.499984740745262"/>
        <bgColor indexed="64"/>
      </patternFill>
    </fill>
    <fill>
      <patternFill patternType="solid">
        <fgColor rgb="FF7030A0"/>
        <bgColor indexed="64"/>
      </patternFill>
    </fill>
    <fill>
      <patternFill patternType="solid">
        <fgColor rgb="FF64FF96"/>
        <bgColor indexed="64"/>
      </patternFill>
    </fill>
    <fill>
      <patternFill patternType="solid">
        <fgColor theme="5" tint="0.79998168889431442"/>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F9999"/>
        <bgColor indexed="64"/>
      </patternFill>
    </fill>
    <fill>
      <patternFill patternType="solid">
        <fgColor rgb="FF00501E"/>
        <bgColor indexed="64"/>
      </patternFill>
    </fill>
    <fill>
      <patternFill patternType="solid">
        <fgColor theme="3" tint="0.79998168889431442"/>
        <bgColor indexed="64"/>
      </patternFill>
    </fill>
    <fill>
      <patternFill patternType="solid">
        <fgColor rgb="FFF0CDFF"/>
        <bgColor indexed="64"/>
      </patternFill>
    </fill>
    <fill>
      <patternFill patternType="solid">
        <fgColor rgb="FF002060"/>
        <bgColor indexed="64"/>
      </patternFill>
    </fill>
    <fill>
      <patternFill patternType="solid">
        <fgColor rgb="FFFABEB4"/>
        <bgColor indexed="64"/>
      </patternFill>
    </fill>
    <fill>
      <patternFill patternType="solid">
        <fgColor theme="9" tint="0.39997558519241921"/>
        <bgColor indexed="64"/>
      </patternFill>
    </fill>
    <fill>
      <patternFill patternType="solid">
        <fgColor theme="4" tint="0.79998168889431442"/>
        <bgColor indexed="64"/>
      </patternFill>
    </fill>
    <fill>
      <patternFill patternType="solid">
        <fgColor rgb="FF870000"/>
        <bgColor indexed="64"/>
      </patternFill>
    </fill>
    <fill>
      <patternFill patternType="solid">
        <fgColor rgb="FF0070C0"/>
        <bgColor indexed="64"/>
      </patternFill>
    </fill>
    <fill>
      <patternFill patternType="solid">
        <fgColor rgb="FFF0F5EB"/>
        <bgColor indexed="64"/>
      </patternFill>
    </fill>
    <fill>
      <patternFill patternType="solid">
        <fgColor theme="0" tint="-4.9989318521683403E-2"/>
        <bgColor indexed="64"/>
      </patternFill>
    </fill>
    <fill>
      <patternFill patternType="solid">
        <fgColor rgb="FFD7B9FF"/>
        <bgColor indexed="64"/>
      </patternFill>
    </fill>
    <fill>
      <patternFill patternType="solid">
        <fgColor rgb="FF5AFFA0"/>
        <bgColor indexed="64"/>
      </patternFill>
    </fill>
    <fill>
      <patternFill patternType="solid">
        <fgColor rgb="FFC00000"/>
        <bgColor indexed="64"/>
      </patternFill>
    </fill>
    <fill>
      <patternFill patternType="solid">
        <fgColor rgb="FFFFCCCC"/>
        <bgColor indexed="64"/>
      </patternFill>
    </fill>
    <fill>
      <patternFill patternType="solid">
        <fgColor rgb="FF3C1E5A"/>
        <bgColor indexed="64"/>
      </patternFill>
    </fill>
    <fill>
      <patternFill patternType="solid">
        <fgColor rgb="FFA0FF64"/>
        <bgColor indexed="64"/>
      </patternFill>
    </fill>
    <fill>
      <patternFill patternType="solid">
        <fgColor rgb="FFFFC7CE"/>
      </patternFill>
    </fill>
    <fill>
      <patternFill patternType="solid">
        <fgColor rgb="FFFFD7DC"/>
        <bgColor indexed="64"/>
      </patternFill>
    </fill>
    <fill>
      <patternFill patternType="solid">
        <fgColor rgb="FF5A1E7D"/>
        <bgColor indexed="64"/>
      </patternFill>
    </fill>
    <fill>
      <patternFill patternType="solid">
        <fgColor rgb="FFE1C8FF"/>
        <bgColor indexed="64"/>
      </patternFill>
    </fill>
    <fill>
      <patternFill patternType="solid">
        <fgColor rgb="FFA0FFCD"/>
        <bgColor indexed="64"/>
      </patternFill>
    </fill>
    <fill>
      <patternFill patternType="solid">
        <fgColor rgb="FF009641"/>
        <bgColor indexed="64"/>
      </patternFill>
    </fill>
    <fill>
      <patternFill patternType="solid">
        <fgColor rgb="FFEBDCFF"/>
        <bgColor indexed="64"/>
      </patternFill>
    </fill>
    <fill>
      <patternFill patternType="solid">
        <fgColor rgb="FF004623"/>
        <bgColor indexed="64"/>
      </patternFill>
    </fill>
    <fill>
      <patternFill patternType="solid">
        <fgColor rgb="FF64FFA5"/>
        <bgColor indexed="64"/>
      </patternFill>
    </fill>
    <fill>
      <patternFill patternType="solid">
        <fgColor rgb="FFE1FFEB"/>
        <bgColor indexed="64"/>
      </patternFill>
    </fill>
    <fill>
      <patternFill patternType="solid">
        <fgColor rgb="FF1E5A28"/>
        <bgColor indexed="64"/>
      </patternFill>
    </fill>
    <fill>
      <patternFill patternType="solid">
        <fgColor theme="2"/>
        <bgColor indexed="64"/>
      </patternFill>
    </fill>
    <fill>
      <patternFill patternType="solid">
        <fgColor rgb="FFFFD7D7"/>
        <bgColor indexed="64"/>
      </patternFill>
    </fill>
    <fill>
      <patternFill patternType="solid">
        <fgColor rgb="FFB4FFCD"/>
        <bgColor indexed="64"/>
      </patternFill>
    </fill>
    <fill>
      <patternFill patternType="solid">
        <fgColor rgb="FFFFCCFF"/>
        <bgColor indexed="64"/>
      </patternFill>
    </fill>
    <fill>
      <patternFill patternType="solid">
        <fgColor rgb="FFBEFFDC"/>
        <bgColor indexed="64"/>
      </patternFill>
    </fill>
    <fill>
      <patternFill patternType="solid">
        <fgColor rgb="FF004B1E"/>
        <bgColor indexed="64"/>
      </patternFill>
    </fill>
    <fill>
      <patternFill patternType="solid">
        <fgColor rgb="FFA5FFC8"/>
        <bgColor indexed="64"/>
      </patternFill>
    </fill>
    <fill>
      <patternFill patternType="solid">
        <fgColor theme="7" tint="0.79998168889431442"/>
        <bgColor indexed="64"/>
      </patternFill>
    </fill>
    <fill>
      <patternFill patternType="solid">
        <fgColor rgb="FFFFE1FF"/>
        <bgColor indexed="64"/>
      </patternFill>
    </fill>
    <fill>
      <patternFill patternType="solid">
        <fgColor rgb="FFC1FFD6"/>
        <bgColor indexed="64"/>
      </patternFill>
    </fill>
    <fill>
      <patternFill patternType="solid">
        <fgColor rgb="FFFFFF00"/>
        <bgColor indexed="64"/>
      </patternFill>
    </fill>
    <fill>
      <patternFill patternType="solid">
        <fgColor rgb="FFFFD2D2"/>
        <bgColor indexed="64"/>
      </patternFill>
    </fill>
    <fill>
      <patternFill patternType="solid">
        <fgColor rgb="FF00823C"/>
        <bgColor indexed="64"/>
      </patternFill>
    </fill>
    <fill>
      <patternFill patternType="solid">
        <fgColor rgb="FFC8FFDC"/>
        <bgColor indexed="64"/>
      </patternFill>
    </fill>
    <fill>
      <patternFill patternType="solid">
        <fgColor rgb="FFFF99FF"/>
        <bgColor indexed="64"/>
      </patternFill>
    </fill>
    <fill>
      <patternFill patternType="solid">
        <fgColor rgb="FF00D25A"/>
        <bgColor indexed="64"/>
      </patternFill>
    </fill>
    <fill>
      <patternFill patternType="solid">
        <fgColor theme="7" tint="0.59999389629810485"/>
        <bgColor indexed="64"/>
      </patternFill>
    </fill>
    <fill>
      <gradientFill>
        <stop position="0">
          <color rgb="FF7030A0"/>
        </stop>
        <stop position="1">
          <color theme="4"/>
        </stop>
      </gradientFill>
    </fill>
    <fill>
      <gradientFill degree="180">
        <stop position="0">
          <color rgb="FFCC00CC"/>
        </stop>
        <stop position="1">
          <color rgb="FFFF0000"/>
        </stop>
      </gradientFill>
    </fill>
    <fill>
      <patternFill patternType="solid">
        <fgColor rgb="FFFFFF99"/>
        <bgColor indexed="64"/>
      </patternFill>
    </fill>
    <fill>
      <patternFill patternType="solid">
        <fgColor theme="2" tint="-9.9978637043366805E-2"/>
        <bgColor indexed="64"/>
      </patternFill>
    </fill>
    <fill>
      <patternFill patternType="solid">
        <fgColor rgb="FFCCFFCC"/>
        <bgColor indexed="64"/>
      </patternFill>
    </fill>
  </fills>
  <borders count="294">
    <border>
      <left/>
      <right/>
      <top/>
      <bottom/>
      <diagonal/>
    </border>
    <border>
      <left/>
      <right/>
      <top/>
      <bottom style="thick">
        <color auto="1"/>
      </bottom>
      <diagonal/>
    </border>
    <border>
      <left/>
      <right style="thick">
        <color auto="1"/>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top style="medium">
        <color indexed="64"/>
      </top>
      <bottom style="medium">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style="thin">
        <color auto="1"/>
      </top>
      <bottom style="thin">
        <color auto="1"/>
      </bottom>
      <diagonal/>
    </border>
    <border>
      <left style="medium">
        <color indexed="64"/>
      </left>
      <right/>
      <top style="thin">
        <color indexed="64"/>
      </top>
      <bottom style="double">
        <color indexed="64"/>
      </bottom>
      <diagonal/>
    </border>
    <border>
      <left/>
      <right style="medium">
        <color indexed="64"/>
      </right>
      <top style="thin">
        <color indexed="64"/>
      </top>
      <bottom style="double">
        <color indexed="64"/>
      </bottom>
      <diagonal/>
    </border>
    <border>
      <left style="medium">
        <color indexed="64"/>
      </left>
      <right/>
      <top style="double">
        <color indexed="64"/>
      </top>
      <bottom style="double">
        <color indexed="64"/>
      </bottom>
      <diagonal/>
    </border>
    <border>
      <left/>
      <right style="medium">
        <color indexed="64"/>
      </right>
      <top style="double">
        <color indexed="64"/>
      </top>
      <bottom style="double">
        <color indexed="64"/>
      </bottom>
      <diagonal/>
    </border>
    <border>
      <left/>
      <right/>
      <top/>
      <bottom style="double">
        <color indexed="64"/>
      </bottom>
      <diagonal/>
    </border>
    <border>
      <left style="medium">
        <color indexed="64"/>
      </left>
      <right/>
      <top style="thin">
        <color indexed="64"/>
      </top>
      <bottom/>
      <diagonal/>
    </border>
    <border>
      <left/>
      <right style="medium">
        <color indexed="64"/>
      </right>
      <top style="thin">
        <color indexed="64"/>
      </top>
      <bottom/>
      <diagonal/>
    </border>
    <border>
      <left/>
      <right style="medium">
        <color theme="0" tint="-0.34998626667073579"/>
      </right>
      <top/>
      <bottom/>
      <diagonal/>
    </border>
    <border>
      <left style="medium">
        <color theme="0" tint="-0.34998626667073579"/>
      </left>
      <right/>
      <top/>
      <bottom/>
      <diagonal/>
    </border>
    <border>
      <left style="medium">
        <color rgb="FF0070C0"/>
      </left>
      <right/>
      <top style="medium">
        <color rgb="FF0070C0"/>
      </top>
      <bottom/>
      <diagonal/>
    </border>
    <border>
      <left/>
      <right style="medium">
        <color rgb="FF0070C0"/>
      </right>
      <top style="medium">
        <color rgb="FF0070C0"/>
      </top>
      <bottom/>
      <diagonal/>
    </border>
    <border>
      <left style="medium">
        <color rgb="FF0070C0"/>
      </left>
      <right/>
      <top/>
      <bottom/>
      <diagonal/>
    </border>
    <border>
      <left/>
      <right style="medium">
        <color rgb="FF0070C0"/>
      </right>
      <top/>
      <bottom/>
      <diagonal/>
    </border>
    <border>
      <left style="medium">
        <color rgb="FF0070C0"/>
      </left>
      <right/>
      <top/>
      <bottom style="medium">
        <color rgb="FF0070C0"/>
      </bottom>
      <diagonal/>
    </border>
    <border>
      <left/>
      <right style="medium">
        <color rgb="FF0070C0"/>
      </right>
      <top/>
      <bottom style="medium">
        <color rgb="FF0070C0"/>
      </bottom>
      <diagonal/>
    </border>
    <border>
      <left style="medium">
        <color rgb="FFC00000"/>
      </left>
      <right/>
      <top style="medium">
        <color rgb="FFC00000"/>
      </top>
      <bottom/>
      <diagonal/>
    </border>
    <border>
      <left/>
      <right style="medium">
        <color rgb="FFC00000"/>
      </right>
      <top style="medium">
        <color rgb="FFC00000"/>
      </top>
      <bottom/>
      <diagonal/>
    </border>
    <border>
      <left style="medium">
        <color rgb="FFC00000"/>
      </left>
      <right/>
      <top/>
      <bottom/>
      <diagonal/>
    </border>
    <border>
      <left/>
      <right style="medium">
        <color rgb="FFC00000"/>
      </right>
      <top/>
      <bottom/>
      <diagonal/>
    </border>
    <border>
      <left style="medium">
        <color rgb="FFC00000"/>
      </left>
      <right/>
      <top/>
      <bottom style="medium">
        <color rgb="FFC00000"/>
      </bottom>
      <diagonal/>
    </border>
    <border>
      <left/>
      <right style="medium">
        <color rgb="FFC00000"/>
      </right>
      <top/>
      <bottom style="medium">
        <color rgb="FFC00000"/>
      </bottom>
      <diagonal/>
    </border>
    <border>
      <left style="thick">
        <color rgb="FF371950"/>
      </left>
      <right/>
      <top style="thick">
        <color rgb="FF371950"/>
      </top>
      <bottom style="thick">
        <color rgb="FF371950"/>
      </bottom>
      <diagonal/>
    </border>
    <border>
      <left/>
      <right/>
      <top style="thick">
        <color rgb="FF371950"/>
      </top>
      <bottom style="thick">
        <color rgb="FF371950"/>
      </bottom>
      <diagonal/>
    </border>
    <border>
      <left/>
      <right style="thick">
        <color rgb="FF371950"/>
      </right>
      <top style="thick">
        <color rgb="FF371950"/>
      </top>
      <bottom style="thick">
        <color rgb="FF371950"/>
      </bottom>
      <diagonal/>
    </border>
    <border>
      <left style="medium">
        <color theme="8" tint="0.39994506668294322"/>
      </left>
      <right/>
      <top style="medium">
        <color theme="8" tint="0.39994506668294322"/>
      </top>
      <bottom/>
      <diagonal/>
    </border>
    <border>
      <left/>
      <right/>
      <top style="medium">
        <color theme="8" tint="0.39994506668294322"/>
      </top>
      <bottom/>
      <diagonal/>
    </border>
    <border>
      <left style="medium">
        <color theme="8" tint="0.39994506668294322"/>
      </left>
      <right/>
      <top/>
      <bottom/>
      <diagonal/>
    </border>
    <border>
      <left style="medium">
        <color theme="8" tint="0.39994506668294322"/>
      </left>
      <right/>
      <top/>
      <bottom style="medium">
        <color theme="8" tint="0.39994506668294322"/>
      </bottom>
      <diagonal/>
    </border>
    <border>
      <left/>
      <right/>
      <top/>
      <bottom style="medium">
        <color theme="8" tint="0.39994506668294322"/>
      </bottom>
      <diagonal/>
    </border>
    <border>
      <left style="medium">
        <color theme="8" tint="0.39994506668294322"/>
      </left>
      <right style="double">
        <color rgb="FFF0CDFF"/>
      </right>
      <top style="medium">
        <color theme="8" tint="0.39994506668294322"/>
      </top>
      <bottom/>
      <diagonal/>
    </border>
    <border>
      <left style="double">
        <color rgb="FFF0CDFF"/>
      </left>
      <right style="double">
        <color rgb="FFF0CDFF"/>
      </right>
      <top style="medium">
        <color theme="8" tint="0.39994506668294322"/>
      </top>
      <bottom/>
      <diagonal/>
    </border>
    <border>
      <left style="medium">
        <color theme="8" tint="0.39994506668294322"/>
      </left>
      <right style="double">
        <color rgb="FFF0CDFF"/>
      </right>
      <top/>
      <bottom/>
      <diagonal/>
    </border>
    <border>
      <left style="double">
        <color rgb="FFF0CDFF"/>
      </left>
      <right style="double">
        <color rgb="FFF0CDFF"/>
      </right>
      <top/>
      <bottom/>
      <diagonal/>
    </border>
    <border>
      <left style="medium">
        <color theme="8" tint="0.39994506668294322"/>
      </left>
      <right style="double">
        <color rgb="FFF0CDFF"/>
      </right>
      <top/>
      <bottom style="medium">
        <color theme="8" tint="0.39994506668294322"/>
      </bottom>
      <diagonal/>
    </border>
    <border>
      <left style="double">
        <color rgb="FFF0CDFF"/>
      </left>
      <right style="double">
        <color rgb="FFF0CDFF"/>
      </right>
      <top/>
      <bottom style="medium">
        <color theme="8" tint="0.39994506668294322"/>
      </bottom>
      <diagonal/>
    </border>
    <border>
      <left style="double">
        <color rgb="FFF0CDFF"/>
      </left>
      <right/>
      <top/>
      <bottom/>
      <diagonal/>
    </border>
    <border>
      <left style="medium">
        <color indexed="64"/>
      </left>
      <right/>
      <top/>
      <bottom style="thin">
        <color indexed="64"/>
      </bottom>
      <diagonal/>
    </border>
    <border>
      <left/>
      <right style="medium">
        <color indexed="64"/>
      </right>
      <top/>
      <bottom style="thin">
        <color indexed="64"/>
      </bottom>
      <diagonal/>
    </border>
    <border>
      <left style="thick">
        <color rgb="FFD2FFE6"/>
      </left>
      <right/>
      <top style="thick">
        <color rgb="FFD2FFE6"/>
      </top>
      <bottom/>
      <diagonal/>
    </border>
    <border>
      <left/>
      <right/>
      <top style="thick">
        <color rgb="FFD2FFE6"/>
      </top>
      <bottom/>
      <diagonal/>
    </border>
    <border>
      <left/>
      <right style="thick">
        <color rgb="FFD2FFE6"/>
      </right>
      <top style="thick">
        <color rgb="FFD2FFE6"/>
      </top>
      <bottom/>
      <diagonal/>
    </border>
    <border>
      <left style="thick">
        <color rgb="FFD2FFE6"/>
      </left>
      <right/>
      <top/>
      <bottom style="thick">
        <color rgb="FFD2FFE6"/>
      </bottom>
      <diagonal/>
    </border>
    <border>
      <left/>
      <right/>
      <top/>
      <bottom style="thick">
        <color rgb="FFD2FFE6"/>
      </bottom>
      <diagonal/>
    </border>
    <border>
      <left/>
      <right style="thick">
        <color rgb="FFD2FFE6"/>
      </right>
      <top/>
      <bottom style="thick">
        <color rgb="FFD2FFE6"/>
      </bottom>
      <diagonal/>
    </border>
    <border>
      <left/>
      <right/>
      <top/>
      <bottom style="medium">
        <color theme="0" tint="-0.34998626667073579"/>
      </bottom>
      <diagonal/>
    </border>
    <border>
      <left/>
      <right style="medium">
        <color theme="0" tint="-0.34998626667073579"/>
      </right>
      <top/>
      <bottom style="medium">
        <color theme="0" tint="-0.34998626667073579"/>
      </bottom>
      <diagonal/>
    </border>
    <border>
      <left style="medium">
        <color theme="0" tint="-0.34998626667073579"/>
      </left>
      <right/>
      <top/>
      <bottom style="medium">
        <color theme="0" tint="-0.34998626667073579"/>
      </bottom>
      <diagonal/>
    </border>
    <border>
      <left/>
      <right/>
      <top style="medium">
        <color theme="0" tint="-0.34998626667073579"/>
      </top>
      <bottom/>
      <diagonal/>
    </border>
    <border>
      <left/>
      <right style="medium">
        <color theme="0" tint="-0.34998626667073579"/>
      </right>
      <top style="medium">
        <color theme="0" tint="-0.34998626667073579"/>
      </top>
      <bottom/>
      <diagonal/>
    </border>
    <border>
      <left style="medium">
        <color theme="0" tint="-0.34998626667073579"/>
      </left>
      <right/>
      <top style="medium">
        <color theme="0" tint="-0.34998626667073579"/>
      </top>
      <bottom/>
      <diagonal/>
    </border>
    <border>
      <left style="thick">
        <color indexed="64"/>
      </left>
      <right/>
      <top style="thick">
        <color indexed="64"/>
      </top>
      <bottom/>
      <diagonal/>
    </border>
    <border>
      <left/>
      <right/>
      <top style="thick">
        <color indexed="64"/>
      </top>
      <bottom/>
      <diagonal/>
    </border>
    <border>
      <left/>
      <right style="medium">
        <color theme="0" tint="-0.34998626667073579"/>
      </right>
      <top style="thick">
        <color indexed="64"/>
      </top>
      <bottom/>
      <diagonal/>
    </border>
    <border>
      <left style="medium">
        <color theme="0" tint="-0.34998626667073579"/>
      </left>
      <right/>
      <top style="thick">
        <color indexed="64"/>
      </top>
      <bottom/>
      <diagonal/>
    </border>
    <border>
      <left/>
      <right style="thick">
        <color indexed="64"/>
      </right>
      <top style="thick">
        <color indexed="64"/>
      </top>
      <bottom/>
      <diagonal/>
    </border>
    <border>
      <left style="thick">
        <color indexed="64"/>
      </left>
      <right/>
      <top/>
      <bottom/>
      <diagonal/>
    </border>
    <border>
      <left style="thick">
        <color indexed="64"/>
      </left>
      <right/>
      <top/>
      <bottom style="medium">
        <color theme="0" tint="-0.34998626667073579"/>
      </bottom>
      <diagonal/>
    </border>
    <border>
      <left/>
      <right style="thick">
        <color indexed="64"/>
      </right>
      <top/>
      <bottom style="medium">
        <color theme="0" tint="-0.34998626667073579"/>
      </bottom>
      <diagonal/>
    </border>
    <border>
      <left style="thick">
        <color indexed="64"/>
      </left>
      <right/>
      <top style="medium">
        <color theme="0" tint="-0.34998626667073579"/>
      </top>
      <bottom/>
      <diagonal/>
    </border>
    <border>
      <left/>
      <right style="thick">
        <color indexed="64"/>
      </right>
      <top style="medium">
        <color theme="0" tint="-0.34998626667073579"/>
      </top>
      <bottom/>
      <diagonal/>
    </border>
    <border>
      <left style="thick">
        <color indexed="64"/>
      </left>
      <right/>
      <top/>
      <bottom style="thick">
        <color indexed="64"/>
      </bottom>
      <diagonal/>
    </border>
    <border>
      <left/>
      <right style="medium">
        <color theme="0" tint="-0.34998626667073579"/>
      </right>
      <top/>
      <bottom style="thick">
        <color indexed="64"/>
      </bottom>
      <diagonal/>
    </border>
    <border>
      <left style="medium">
        <color theme="0" tint="-0.34998626667073579"/>
      </left>
      <right/>
      <top/>
      <bottom style="thick">
        <color indexed="64"/>
      </bottom>
      <diagonal/>
    </border>
    <border>
      <left/>
      <right style="thick">
        <color indexed="64"/>
      </right>
      <top/>
      <bottom style="thick">
        <color indexed="64"/>
      </bottom>
      <diagonal/>
    </border>
    <border>
      <left style="thick">
        <color theme="0"/>
      </left>
      <right style="thick">
        <color theme="0"/>
      </right>
      <top style="thick">
        <color theme="0"/>
      </top>
      <bottom/>
      <diagonal/>
    </border>
    <border>
      <left style="thick">
        <color theme="0"/>
      </left>
      <right style="thick">
        <color theme="0"/>
      </right>
      <top/>
      <bottom/>
      <diagonal/>
    </border>
    <border>
      <left style="thick">
        <color theme="0"/>
      </left>
      <right style="thick">
        <color theme="0"/>
      </right>
      <top/>
      <bottom style="thick">
        <color theme="0"/>
      </bottom>
      <diagonal/>
    </border>
    <border>
      <left style="hair">
        <color indexed="64"/>
      </left>
      <right/>
      <top style="medium">
        <color indexed="64"/>
      </top>
      <bottom/>
      <diagonal/>
    </border>
    <border>
      <left/>
      <right style="hair">
        <color indexed="64"/>
      </right>
      <top style="medium">
        <color indexed="64"/>
      </top>
      <bottom/>
      <diagonal/>
    </border>
    <border>
      <left style="hair">
        <color indexed="64"/>
      </left>
      <right/>
      <top/>
      <bottom style="medium">
        <color indexed="64"/>
      </bottom>
      <diagonal/>
    </border>
    <border>
      <left/>
      <right style="hair">
        <color indexed="64"/>
      </right>
      <top/>
      <bottom style="medium">
        <color indexed="64"/>
      </bottom>
      <diagonal/>
    </border>
    <border>
      <left/>
      <right style="double">
        <color rgb="FFF0CDFF"/>
      </right>
      <top style="medium">
        <color theme="8" tint="0.39994506668294322"/>
      </top>
      <bottom/>
      <diagonal/>
    </border>
    <border>
      <left/>
      <right style="double">
        <color rgb="FFF0CDFF"/>
      </right>
      <top/>
      <bottom/>
      <diagonal/>
    </border>
    <border>
      <left/>
      <right style="double">
        <color rgb="FFF0CDFF"/>
      </right>
      <top/>
      <bottom style="medium">
        <color theme="8" tint="0.39994506668294322"/>
      </bottom>
      <diagonal/>
    </border>
    <border>
      <left style="thick">
        <color rgb="FFF0CDFF"/>
      </left>
      <right/>
      <top style="thick">
        <color rgb="FFF0CDFF"/>
      </top>
      <bottom/>
      <diagonal/>
    </border>
    <border>
      <left/>
      <right/>
      <top style="thick">
        <color rgb="FFF0CDFF"/>
      </top>
      <bottom/>
      <diagonal/>
    </border>
    <border>
      <left/>
      <right style="thick">
        <color rgb="FFF0CDFF"/>
      </right>
      <top style="thick">
        <color rgb="FFF0CDFF"/>
      </top>
      <bottom/>
      <diagonal/>
    </border>
    <border>
      <left style="thick">
        <color rgb="FFF0CDFF"/>
      </left>
      <right/>
      <top/>
      <bottom style="thick">
        <color rgb="FFF0CDFF"/>
      </bottom>
      <diagonal/>
    </border>
    <border>
      <left/>
      <right/>
      <top/>
      <bottom style="thick">
        <color rgb="FFF0CDFF"/>
      </bottom>
      <diagonal/>
    </border>
    <border>
      <left/>
      <right style="thick">
        <color rgb="FFF0CDFF"/>
      </right>
      <top/>
      <bottom style="thick">
        <color rgb="FFF0CDFF"/>
      </bottom>
      <diagonal/>
    </border>
    <border>
      <left style="double">
        <color rgb="FFC00000"/>
      </left>
      <right/>
      <top style="double">
        <color rgb="FFC00000"/>
      </top>
      <bottom/>
      <diagonal/>
    </border>
    <border>
      <left/>
      <right/>
      <top style="double">
        <color rgb="FFC00000"/>
      </top>
      <bottom/>
      <diagonal/>
    </border>
    <border>
      <left/>
      <right style="double">
        <color rgb="FFC00000"/>
      </right>
      <top style="double">
        <color rgb="FFC00000"/>
      </top>
      <bottom/>
      <diagonal/>
    </border>
    <border>
      <left style="double">
        <color rgb="FFC00000"/>
      </left>
      <right/>
      <top/>
      <bottom/>
      <diagonal/>
    </border>
    <border>
      <left/>
      <right style="double">
        <color rgb="FFC00000"/>
      </right>
      <top/>
      <bottom/>
      <diagonal/>
    </border>
    <border>
      <left style="double">
        <color rgb="FFC00000"/>
      </left>
      <right/>
      <top/>
      <bottom style="double">
        <color rgb="FFC00000"/>
      </bottom>
      <diagonal/>
    </border>
    <border>
      <left/>
      <right/>
      <top/>
      <bottom style="double">
        <color rgb="FFC00000"/>
      </bottom>
      <diagonal/>
    </border>
    <border>
      <left/>
      <right style="double">
        <color rgb="FFC00000"/>
      </right>
      <top/>
      <bottom style="double">
        <color rgb="FFC00000"/>
      </bottom>
      <diagonal/>
    </border>
    <border>
      <left style="double">
        <color rgb="FF00B0F0"/>
      </left>
      <right/>
      <top style="double">
        <color rgb="FF00B0F0"/>
      </top>
      <bottom/>
      <diagonal/>
    </border>
    <border>
      <left/>
      <right/>
      <top style="double">
        <color rgb="FF00B0F0"/>
      </top>
      <bottom/>
      <diagonal/>
    </border>
    <border>
      <left/>
      <right style="double">
        <color rgb="FF00B0F0"/>
      </right>
      <top style="double">
        <color rgb="FF00B0F0"/>
      </top>
      <bottom/>
      <diagonal/>
    </border>
    <border>
      <left style="double">
        <color rgb="FF00B0F0"/>
      </left>
      <right/>
      <top/>
      <bottom/>
      <diagonal/>
    </border>
    <border>
      <left/>
      <right style="double">
        <color rgb="FF00B0F0"/>
      </right>
      <top/>
      <bottom/>
      <diagonal/>
    </border>
    <border>
      <left style="double">
        <color rgb="FF00B0F0"/>
      </left>
      <right/>
      <top/>
      <bottom style="double">
        <color rgb="FF00B0F0"/>
      </bottom>
      <diagonal/>
    </border>
    <border>
      <left/>
      <right/>
      <top/>
      <bottom style="double">
        <color rgb="FF00B0F0"/>
      </bottom>
      <diagonal/>
    </border>
    <border>
      <left/>
      <right style="double">
        <color rgb="FF00B0F0"/>
      </right>
      <top/>
      <bottom style="double">
        <color rgb="FF00B0F0"/>
      </bottom>
      <diagonal/>
    </border>
    <border>
      <left/>
      <right style="double">
        <color indexed="64"/>
      </right>
      <top style="thin">
        <color indexed="64"/>
      </top>
      <bottom style="thin">
        <color indexed="64"/>
      </bottom>
      <diagonal/>
    </border>
    <border>
      <left style="double">
        <color rgb="FFF0CDFF"/>
      </left>
      <right style="double">
        <color rgb="FFF0CDFF"/>
      </right>
      <top style="medium">
        <color rgb="FFFF0000"/>
      </top>
      <bottom/>
      <diagonal/>
    </border>
    <border>
      <left style="double">
        <color rgb="FFF0CDFF"/>
      </left>
      <right style="medium">
        <color rgb="FFFF0000"/>
      </right>
      <top style="medium">
        <color rgb="FFFF0000"/>
      </top>
      <bottom/>
      <diagonal/>
    </border>
    <border>
      <left style="double">
        <color rgb="FFF0CDFF"/>
      </left>
      <right style="medium">
        <color rgb="FFFF0000"/>
      </right>
      <top/>
      <bottom/>
      <diagonal/>
    </border>
    <border>
      <left style="double">
        <color rgb="FFF0CDFF"/>
      </left>
      <right style="double">
        <color rgb="FFF0CDFF"/>
      </right>
      <top/>
      <bottom style="medium">
        <color rgb="FFFF0000"/>
      </bottom>
      <diagonal/>
    </border>
    <border>
      <left style="double">
        <color rgb="FFF0CDFF"/>
      </left>
      <right style="medium">
        <color rgb="FFFF0000"/>
      </right>
      <top/>
      <bottom style="medium">
        <color rgb="FFFF0000"/>
      </bottom>
      <diagonal/>
    </border>
    <border>
      <left style="double">
        <color rgb="FFF0CDFF"/>
      </left>
      <right/>
      <top style="medium">
        <color rgb="FFFF0000"/>
      </top>
      <bottom/>
      <diagonal/>
    </border>
    <border>
      <left/>
      <right/>
      <top style="medium">
        <color rgb="FFFF0000"/>
      </top>
      <bottom/>
      <diagonal/>
    </border>
    <border>
      <left/>
      <right style="medium">
        <color rgb="FFFF0000"/>
      </right>
      <top style="medium">
        <color rgb="FFFF0000"/>
      </top>
      <bottom/>
      <diagonal/>
    </border>
    <border>
      <left/>
      <right style="medium">
        <color rgb="FFFF0000"/>
      </right>
      <top/>
      <bottom/>
      <diagonal/>
    </border>
    <border>
      <left style="double">
        <color rgb="FFF0CDFF"/>
      </left>
      <right/>
      <top/>
      <bottom style="medium">
        <color rgb="FFFF0000"/>
      </bottom>
      <diagonal/>
    </border>
    <border>
      <left/>
      <right/>
      <top/>
      <bottom style="medium">
        <color rgb="FFFF0000"/>
      </bottom>
      <diagonal/>
    </border>
    <border>
      <left/>
      <right style="medium">
        <color rgb="FFFF0000"/>
      </right>
      <top/>
      <bottom style="medium">
        <color rgb="FFFF0000"/>
      </bottom>
      <diagonal/>
    </border>
    <border>
      <left style="thick">
        <color rgb="FFF5D2FF"/>
      </left>
      <right/>
      <top style="thick">
        <color rgb="FFF5D2FF"/>
      </top>
      <bottom/>
      <diagonal/>
    </border>
    <border>
      <left/>
      <right/>
      <top style="thick">
        <color rgb="FFF5D2FF"/>
      </top>
      <bottom/>
      <diagonal/>
    </border>
    <border>
      <left/>
      <right style="thick">
        <color rgb="FFF5D2FF"/>
      </right>
      <top style="thick">
        <color rgb="FFF5D2FF"/>
      </top>
      <bottom/>
      <diagonal/>
    </border>
    <border>
      <left style="thick">
        <color rgb="FFF5D2FF"/>
      </left>
      <right/>
      <top/>
      <bottom/>
      <diagonal/>
    </border>
    <border>
      <left/>
      <right style="thick">
        <color rgb="FFF5D2FF"/>
      </right>
      <top/>
      <bottom/>
      <diagonal/>
    </border>
    <border>
      <left style="thick">
        <color rgb="FFF5D2FF"/>
      </left>
      <right/>
      <top/>
      <bottom style="thick">
        <color rgb="FFF5D2FF"/>
      </bottom>
      <diagonal/>
    </border>
    <border>
      <left/>
      <right/>
      <top/>
      <bottom style="thick">
        <color rgb="FFF5D2FF"/>
      </bottom>
      <diagonal/>
    </border>
    <border>
      <left/>
      <right style="thick">
        <color rgb="FFF5D2FF"/>
      </right>
      <top/>
      <bottom style="thick">
        <color rgb="FFF5D2FF"/>
      </bottom>
      <diagonal/>
    </border>
    <border>
      <left style="medium">
        <color theme="8" tint="0.39994506668294322"/>
      </left>
      <right style="double">
        <color rgb="FFF0CDFF"/>
      </right>
      <top/>
      <bottom style="medium">
        <color theme="8" tint="0.39991454817346722"/>
      </bottom>
      <diagonal/>
    </border>
    <border>
      <left style="double">
        <color rgb="FFF0CDFF"/>
      </left>
      <right style="double">
        <color rgb="FFF0CDFF"/>
      </right>
      <top/>
      <bottom style="medium">
        <color theme="8" tint="0.39991454817346722"/>
      </bottom>
      <diagonal/>
    </border>
    <border>
      <left style="dashed">
        <color rgb="FFEBDCFF"/>
      </left>
      <right/>
      <top style="dashed">
        <color rgb="FFEBDCFF"/>
      </top>
      <bottom/>
      <diagonal/>
    </border>
    <border>
      <left/>
      <right/>
      <top style="dashed">
        <color rgb="FFEBDCFF"/>
      </top>
      <bottom/>
      <diagonal/>
    </border>
    <border>
      <left/>
      <right style="dashed">
        <color rgb="FFEBDCFF"/>
      </right>
      <top style="dashed">
        <color rgb="FFEBDCFF"/>
      </top>
      <bottom/>
      <diagonal/>
    </border>
    <border>
      <left style="dashed">
        <color rgb="FFEBDCFF"/>
      </left>
      <right/>
      <top/>
      <bottom/>
      <diagonal/>
    </border>
    <border>
      <left/>
      <right style="dashed">
        <color rgb="FFEBDCFF"/>
      </right>
      <top/>
      <bottom/>
      <diagonal/>
    </border>
    <border>
      <left style="dashed">
        <color rgb="FFEBDCFF"/>
      </left>
      <right/>
      <top/>
      <bottom style="dashed">
        <color rgb="FFEBDCFF"/>
      </bottom>
      <diagonal/>
    </border>
    <border>
      <left/>
      <right/>
      <top/>
      <bottom style="dashed">
        <color rgb="FFEBDCFF"/>
      </bottom>
      <diagonal/>
    </border>
    <border>
      <left/>
      <right style="dashed">
        <color rgb="FFEBDCFF"/>
      </right>
      <top/>
      <bottom style="dashed">
        <color rgb="FFEBDCFF"/>
      </bottom>
      <diagonal/>
    </border>
    <border>
      <left style="dashed">
        <color rgb="FFEBDCFF"/>
      </left>
      <right/>
      <top style="dashed">
        <color rgb="FFEBDCFF"/>
      </top>
      <bottom style="dashed">
        <color rgb="FFEBDCFF"/>
      </bottom>
      <diagonal/>
    </border>
    <border>
      <left/>
      <right/>
      <top style="dashed">
        <color rgb="FFEBDCFF"/>
      </top>
      <bottom style="dashed">
        <color rgb="FFEBDCFF"/>
      </bottom>
      <diagonal/>
    </border>
    <border>
      <left/>
      <right/>
      <top/>
      <bottom style="dashed">
        <color rgb="FFE1C8FF"/>
      </bottom>
      <diagonal/>
    </border>
    <border>
      <left style="thick">
        <color rgb="FF5AFFA0"/>
      </left>
      <right/>
      <top style="thick">
        <color rgb="FF5AFFA0"/>
      </top>
      <bottom style="thick">
        <color rgb="FF5AFFA0"/>
      </bottom>
      <diagonal/>
    </border>
    <border>
      <left/>
      <right/>
      <top style="thick">
        <color rgb="FF5AFFA0"/>
      </top>
      <bottom style="thick">
        <color rgb="FF5AFFA0"/>
      </bottom>
      <diagonal/>
    </border>
    <border>
      <left/>
      <right style="thick">
        <color rgb="FF5AFFA0"/>
      </right>
      <top style="thick">
        <color rgb="FF5AFFA0"/>
      </top>
      <bottom style="thick">
        <color rgb="FF5AFFA0"/>
      </bottom>
      <diagonal/>
    </border>
    <border>
      <left/>
      <right style="thin">
        <color rgb="FF00B050"/>
      </right>
      <top/>
      <bottom/>
      <diagonal/>
    </border>
    <border>
      <left style="thin">
        <color rgb="FF00B050"/>
      </left>
      <right/>
      <top/>
      <bottom/>
      <diagonal/>
    </border>
    <border>
      <left style="thin">
        <color rgb="FF64FFA5"/>
      </left>
      <right/>
      <top style="thin">
        <color rgb="FF64FFA5"/>
      </top>
      <bottom/>
      <diagonal/>
    </border>
    <border>
      <left/>
      <right/>
      <top style="thin">
        <color rgb="FF64FFA5"/>
      </top>
      <bottom/>
      <diagonal/>
    </border>
    <border>
      <left/>
      <right style="thin">
        <color rgb="FF64FFA5"/>
      </right>
      <top style="thin">
        <color rgb="FF64FFA5"/>
      </top>
      <bottom/>
      <diagonal/>
    </border>
    <border>
      <left style="thin">
        <color rgb="FF64FFA5"/>
      </left>
      <right/>
      <top/>
      <bottom/>
      <diagonal/>
    </border>
    <border>
      <left/>
      <right style="thin">
        <color rgb="FF64FFA5"/>
      </right>
      <top/>
      <bottom/>
      <diagonal/>
    </border>
    <border>
      <left style="thin">
        <color rgb="FF64FFA5"/>
      </left>
      <right/>
      <top/>
      <bottom style="thin">
        <color rgb="FF64FFA5"/>
      </bottom>
      <diagonal/>
    </border>
    <border>
      <left/>
      <right/>
      <top/>
      <bottom style="thin">
        <color rgb="FF64FFA5"/>
      </bottom>
      <diagonal/>
    </border>
    <border>
      <left/>
      <right style="thin">
        <color rgb="FF64FFA5"/>
      </right>
      <top/>
      <bottom style="thin">
        <color rgb="FF64FFA5"/>
      </bottom>
      <diagonal/>
    </border>
    <border>
      <left style="thin">
        <color rgb="FF00B050"/>
      </left>
      <right/>
      <top style="thin">
        <color rgb="FF00B050"/>
      </top>
      <bottom/>
      <diagonal/>
    </border>
    <border>
      <left/>
      <right/>
      <top style="thin">
        <color rgb="FF00B050"/>
      </top>
      <bottom/>
      <diagonal/>
    </border>
    <border>
      <left/>
      <right style="thin">
        <color rgb="FF00B050"/>
      </right>
      <top style="thin">
        <color rgb="FF00B050"/>
      </top>
      <bottom/>
      <diagonal/>
    </border>
    <border>
      <left style="thin">
        <color rgb="FF00B050"/>
      </left>
      <right/>
      <top/>
      <bottom style="thin">
        <color rgb="FF00B050"/>
      </bottom>
      <diagonal/>
    </border>
    <border>
      <left/>
      <right/>
      <top/>
      <bottom style="thin">
        <color rgb="FF00B050"/>
      </bottom>
      <diagonal/>
    </border>
    <border>
      <left/>
      <right style="thin">
        <color rgb="FF00B050"/>
      </right>
      <top/>
      <bottom style="thin">
        <color rgb="FF00B050"/>
      </bottom>
      <diagonal/>
    </border>
    <border>
      <left/>
      <right style="thin">
        <color indexed="64"/>
      </right>
      <top style="thin">
        <color rgb="FF00B050"/>
      </top>
      <bottom/>
      <diagonal/>
    </border>
    <border>
      <left style="thin">
        <color indexed="64"/>
      </left>
      <right/>
      <top/>
      <bottom/>
      <diagonal/>
    </border>
    <border>
      <left style="medium">
        <color theme="0"/>
      </left>
      <right style="thick">
        <color theme="0"/>
      </right>
      <top style="double">
        <color indexed="64"/>
      </top>
      <bottom/>
      <diagonal/>
    </border>
    <border>
      <left style="medium">
        <color theme="0"/>
      </left>
      <right style="thick">
        <color theme="0"/>
      </right>
      <top/>
      <bottom/>
      <diagonal/>
    </border>
    <border>
      <left style="thick">
        <color theme="0"/>
      </left>
      <right/>
      <top style="double">
        <color indexed="64"/>
      </top>
      <bottom/>
      <diagonal/>
    </border>
    <border>
      <left style="thick">
        <color theme="0"/>
      </left>
      <right/>
      <top/>
      <bottom/>
      <diagonal/>
    </border>
    <border>
      <left style="dotted">
        <color rgb="FFFFFF00"/>
      </left>
      <right style="dotted">
        <color rgb="FFFFFF00"/>
      </right>
      <top style="double">
        <color indexed="64"/>
      </top>
      <bottom/>
      <diagonal/>
    </border>
    <border>
      <left style="dotted">
        <color rgb="FFFFFF00"/>
      </left>
      <right style="dotted">
        <color rgb="FFFFFF00"/>
      </right>
      <top/>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right style="medium">
        <color indexed="64"/>
      </right>
      <top style="medium">
        <color indexed="64"/>
      </top>
      <bottom style="double">
        <color indexed="64"/>
      </bottom>
      <diagonal/>
    </border>
    <border>
      <left/>
      <right style="dashed">
        <color rgb="FF0AFA96"/>
      </right>
      <top/>
      <bottom/>
      <diagonal/>
    </border>
    <border>
      <left style="dashed">
        <color rgb="FF0AFA96"/>
      </left>
      <right/>
      <top/>
      <bottom/>
      <diagonal/>
    </border>
    <border>
      <left style="medium">
        <color rgb="FFFF99FF"/>
      </left>
      <right/>
      <top style="medium">
        <color rgb="FFFF99FF"/>
      </top>
      <bottom/>
      <diagonal/>
    </border>
    <border>
      <left/>
      <right style="dashed">
        <color rgb="FF0AFA96"/>
      </right>
      <top style="medium">
        <color rgb="FFFF99FF"/>
      </top>
      <bottom/>
      <diagonal/>
    </border>
    <border>
      <left style="dashed">
        <color rgb="FF0AFA96"/>
      </left>
      <right/>
      <top style="medium">
        <color rgb="FFFF99FF"/>
      </top>
      <bottom/>
      <diagonal/>
    </border>
    <border>
      <left/>
      <right/>
      <top style="medium">
        <color rgb="FFFF99FF"/>
      </top>
      <bottom/>
      <diagonal/>
    </border>
    <border>
      <left/>
      <right style="medium">
        <color rgb="FFFF99FF"/>
      </right>
      <top style="medium">
        <color rgb="FFFF99FF"/>
      </top>
      <bottom/>
      <diagonal/>
    </border>
    <border>
      <left style="medium">
        <color rgb="FFFF99FF"/>
      </left>
      <right/>
      <top/>
      <bottom/>
      <diagonal/>
    </border>
    <border>
      <left/>
      <right style="medium">
        <color rgb="FFFF99FF"/>
      </right>
      <top/>
      <bottom/>
      <diagonal/>
    </border>
    <border>
      <left style="medium">
        <color rgb="FFFF99FF"/>
      </left>
      <right/>
      <top/>
      <bottom style="medium">
        <color rgb="FFFF99FF"/>
      </bottom>
      <diagonal/>
    </border>
    <border>
      <left/>
      <right style="dashed">
        <color rgb="FF0AFA96"/>
      </right>
      <top/>
      <bottom style="medium">
        <color rgb="FFFF99FF"/>
      </bottom>
      <diagonal/>
    </border>
    <border>
      <left style="dashed">
        <color rgb="FF0AFA96"/>
      </left>
      <right/>
      <top/>
      <bottom style="medium">
        <color rgb="FFFF99FF"/>
      </bottom>
      <diagonal/>
    </border>
    <border>
      <left/>
      <right/>
      <top/>
      <bottom style="medium">
        <color rgb="FFFF99FF"/>
      </bottom>
      <diagonal/>
    </border>
    <border>
      <left/>
      <right style="medium">
        <color rgb="FFFF99FF"/>
      </right>
      <top/>
      <bottom style="medium">
        <color rgb="FFFF99FF"/>
      </bottom>
      <diagonal/>
    </border>
    <border>
      <left style="thick">
        <color rgb="FFFFE1FF"/>
      </left>
      <right/>
      <top style="thick">
        <color rgb="FFFFE1FF"/>
      </top>
      <bottom/>
      <diagonal/>
    </border>
    <border>
      <left/>
      <right/>
      <top style="thick">
        <color rgb="FFFFE1FF"/>
      </top>
      <bottom/>
      <diagonal/>
    </border>
    <border>
      <left/>
      <right style="thick">
        <color rgb="FFFFE1FF"/>
      </right>
      <top style="thick">
        <color rgb="FFFFE1FF"/>
      </top>
      <bottom/>
      <diagonal/>
    </border>
    <border>
      <left style="thick">
        <color rgb="FFFFE1FF"/>
      </left>
      <right/>
      <top/>
      <bottom/>
      <diagonal/>
    </border>
    <border>
      <left/>
      <right style="thick">
        <color rgb="FFFFE1FF"/>
      </right>
      <top/>
      <bottom/>
      <diagonal/>
    </border>
    <border>
      <left style="thick">
        <color rgb="FFFFE1FF"/>
      </left>
      <right/>
      <top/>
      <bottom style="thick">
        <color rgb="FFFFE1FF"/>
      </bottom>
      <diagonal/>
    </border>
    <border>
      <left/>
      <right/>
      <top/>
      <bottom style="thick">
        <color rgb="FFFFE1FF"/>
      </bottom>
      <diagonal/>
    </border>
    <border>
      <left/>
      <right style="thick">
        <color rgb="FFFFE1FF"/>
      </right>
      <top/>
      <bottom style="thick">
        <color rgb="FFFFE1FF"/>
      </bottom>
      <diagonal/>
    </border>
    <border>
      <left style="medium">
        <color rgb="FFFF99FF"/>
      </left>
      <right/>
      <top/>
      <bottom style="thick">
        <color rgb="FFFFE1FF"/>
      </bottom>
      <diagonal/>
    </border>
    <border>
      <left/>
      <right style="medium">
        <color rgb="FFFF99FF"/>
      </right>
      <top/>
      <bottom style="thick">
        <color rgb="FFFFE1FF"/>
      </bottom>
      <diagonal/>
    </border>
    <border>
      <left style="medium">
        <color rgb="FFFF99FF"/>
      </left>
      <right/>
      <top style="thick">
        <color rgb="FFFFE1FF"/>
      </top>
      <bottom/>
      <diagonal/>
    </border>
    <border>
      <left/>
      <right style="medium">
        <color rgb="FFFF99FF"/>
      </right>
      <top style="thick">
        <color rgb="FFFFE1FF"/>
      </top>
      <bottom/>
      <diagonal/>
    </border>
    <border>
      <left style="medium">
        <color rgb="FFFFE1FF"/>
      </left>
      <right/>
      <top style="medium">
        <color rgb="FFFFE1FF"/>
      </top>
      <bottom/>
      <diagonal/>
    </border>
    <border>
      <left/>
      <right/>
      <top style="medium">
        <color rgb="FFFFE1FF"/>
      </top>
      <bottom/>
      <diagonal/>
    </border>
    <border>
      <left/>
      <right style="medium">
        <color rgb="FFFFE1FF"/>
      </right>
      <top style="medium">
        <color rgb="FFFFE1FF"/>
      </top>
      <bottom/>
      <diagonal/>
    </border>
    <border>
      <left style="medium">
        <color rgb="FFFFE1FF"/>
      </left>
      <right/>
      <top/>
      <bottom/>
      <diagonal/>
    </border>
    <border>
      <left/>
      <right style="medium">
        <color rgb="FFFFE1FF"/>
      </right>
      <top/>
      <bottom/>
      <diagonal/>
    </border>
    <border>
      <left style="medium">
        <color rgb="FFFFE1FF"/>
      </left>
      <right/>
      <top/>
      <bottom style="medium">
        <color rgb="FFFFE1FF"/>
      </bottom>
      <diagonal/>
    </border>
    <border>
      <left/>
      <right/>
      <top/>
      <bottom style="medium">
        <color rgb="FFFFE1FF"/>
      </bottom>
      <diagonal/>
    </border>
    <border>
      <left/>
      <right style="medium">
        <color rgb="FFFFE1FF"/>
      </right>
      <top/>
      <bottom style="medium">
        <color rgb="FFFFE1FF"/>
      </bottom>
      <diagonal/>
    </border>
    <border>
      <left/>
      <right/>
      <top/>
      <bottom style="medium">
        <color rgb="FF00B0F0"/>
      </bottom>
      <diagonal/>
    </border>
    <border>
      <left style="medium">
        <color rgb="FF00B0F0"/>
      </left>
      <right/>
      <top/>
      <bottom style="medium">
        <color rgb="FF00B0F0"/>
      </bottom>
      <diagonal/>
    </border>
    <border>
      <left style="medium">
        <color rgb="FF00B0F0"/>
      </left>
      <right/>
      <top/>
      <bottom/>
      <diagonal/>
    </border>
    <border>
      <left/>
      <right style="mediumDashed">
        <color theme="0"/>
      </right>
      <top/>
      <bottom/>
      <diagonal/>
    </border>
    <border>
      <left style="mediumDashed">
        <color theme="0"/>
      </left>
      <right style="mediumDashed">
        <color theme="0"/>
      </right>
      <top/>
      <bottom/>
      <diagonal/>
    </border>
    <border>
      <left style="mediumDashed">
        <color theme="0"/>
      </left>
      <right/>
      <top/>
      <bottom/>
      <diagonal/>
    </border>
    <border>
      <left/>
      <right style="mediumDashed">
        <color theme="0"/>
      </right>
      <top/>
      <bottom style="medium">
        <color rgb="FF00B0F0"/>
      </bottom>
      <diagonal/>
    </border>
    <border>
      <left style="mediumDashed">
        <color theme="0"/>
      </left>
      <right style="mediumDashed">
        <color theme="0"/>
      </right>
      <top/>
      <bottom style="medium">
        <color rgb="FF00B0F0"/>
      </bottom>
      <diagonal/>
    </border>
    <border>
      <left style="mediumDashed">
        <color theme="0"/>
      </left>
      <right style="mediumDashed">
        <color theme="0"/>
      </right>
      <top/>
      <bottom style="medium">
        <color rgb="FFFF0000"/>
      </bottom>
      <diagonal/>
    </border>
    <border>
      <left style="mediumDashed">
        <color theme="0"/>
      </left>
      <right/>
      <top/>
      <bottom style="medium">
        <color rgb="FFFF0000"/>
      </bottom>
      <diagonal/>
    </border>
    <border>
      <left style="medium">
        <color indexed="64"/>
      </left>
      <right style="medium">
        <color indexed="64"/>
      </right>
      <top style="medium">
        <color indexed="64"/>
      </top>
      <bottom style="medium">
        <color indexed="64"/>
      </bottom>
      <diagonal/>
    </border>
    <border>
      <left/>
      <right/>
      <top/>
      <bottom style="thick">
        <color theme="0"/>
      </bottom>
      <diagonal/>
    </border>
    <border>
      <left/>
      <right/>
      <top style="thick">
        <color theme="0"/>
      </top>
      <bottom/>
      <diagonal/>
    </border>
    <border>
      <left style="medium">
        <color rgb="FF780091"/>
      </left>
      <right/>
      <top style="medium">
        <color rgb="FF780091"/>
      </top>
      <bottom style="medium">
        <color rgb="FF780091"/>
      </bottom>
      <diagonal/>
    </border>
    <border>
      <left/>
      <right/>
      <top style="medium">
        <color rgb="FF780091"/>
      </top>
      <bottom style="medium">
        <color rgb="FF780091"/>
      </bottom>
      <diagonal/>
    </border>
    <border>
      <left/>
      <right style="medium">
        <color rgb="FF780091"/>
      </right>
      <top style="medium">
        <color rgb="FF780091"/>
      </top>
      <bottom style="medium">
        <color rgb="FF780091"/>
      </bottom>
      <diagonal/>
    </border>
    <border>
      <left style="medium">
        <color rgb="FF1E5A28"/>
      </left>
      <right/>
      <top style="medium">
        <color rgb="FF1E5A28"/>
      </top>
      <bottom style="medium">
        <color rgb="FF1E5A28"/>
      </bottom>
      <diagonal/>
    </border>
    <border>
      <left/>
      <right/>
      <top style="medium">
        <color rgb="FF1E5A28"/>
      </top>
      <bottom style="medium">
        <color rgb="FF1E5A28"/>
      </bottom>
      <diagonal/>
    </border>
    <border>
      <left/>
      <right style="medium">
        <color rgb="FF1E5A28"/>
      </right>
      <top style="medium">
        <color rgb="FF1E5A28"/>
      </top>
      <bottom style="medium">
        <color rgb="FF1E5A28"/>
      </bottom>
      <diagonal/>
    </border>
    <border>
      <left style="medium">
        <color rgb="FF780091"/>
      </left>
      <right/>
      <top style="medium">
        <color rgb="FF780091"/>
      </top>
      <bottom style="medium">
        <color indexed="64"/>
      </bottom>
      <diagonal/>
    </border>
    <border>
      <left/>
      <right/>
      <top style="medium">
        <color rgb="FF780091"/>
      </top>
      <bottom style="medium">
        <color indexed="64"/>
      </bottom>
      <diagonal/>
    </border>
    <border>
      <left/>
      <right style="medium">
        <color rgb="FF780091"/>
      </right>
      <top style="medium">
        <color rgb="FF780091"/>
      </top>
      <bottom style="medium">
        <color indexed="64"/>
      </bottom>
      <diagonal/>
    </border>
    <border>
      <left style="medium">
        <color rgb="FF780091"/>
      </left>
      <right/>
      <top style="medium">
        <color indexed="64"/>
      </top>
      <bottom style="medium">
        <color rgb="FF780091"/>
      </bottom>
      <diagonal/>
    </border>
    <border>
      <left/>
      <right/>
      <top style="medium">
        <color indexed="64"/>
      </top>
      <bottom style="medium">
        <color rgb="FF780091"/>
      </bottom>
      <diagonal/>
    </border>
    <border>
      <left/>
      <right style="medium">
        <color rgb="FF780091"/>
      </right>
      <top style="medium">
        <color indexed="64"/>
      </top>
      <bottom style="medium">
        <color rgb="FF780091"/>
      </bottom>
      <diagonal/>
    </border>
    <border>
      <left style="medium">
        <color indexed="64"/>
      </left>
      <right/>
      <top style="medium">
        <color rgb="FF2BFF8C"/>
      </top>
      <bottom style="medium">
        <color rgb="FF2BFF8C"/>
      </bottom>
      <diagonal/>
    </border>
    <border>
      <left/>
      <right/>
      <top style="medium">
        <color rgb="FF2BFF8C"/>
      </top>
      <bottom style="medium">
        <color rgb="FF2BFF8C"/>
      </bottom>
      <diagonal/>
    </border>
    <border>
      <left/>
      <right style="medium">
        <color rgb="FF2BFF8C"/>
      </right>
      <top style="medium">
        <color rgb="FF2BFF8C"/>
      </top>
      <bottom style="medium">
        <color rgb="FF2BFF8C"/>
      </bottom>
      <diagonal/>
    </border>
    <border>
      <left/>
      <right/>
      <top/>
      <bottom style="thin">
        <color rgb="FFCC00CC"/>
      </bottom>
      <diagonal/>
    </border>
    <border>
      <left/>
      <right/>
      <top style="thin">
        <color rgb="FFCC00CC"/>
      </top>
      <bottom/>
      <diagonal/>
    </border>
    <border>
      <left style="thick">
        <color theme="0"/>
      </left>
      <right/>
      <top style="thick">
        <color theme="0"/>
      </top>
      <bottom/>
      <diagonal/>
    </border>
    <border>
      <left/>
      <right style="thick">
        <color theme="0"/>
      </right>
      <top style="thick">
        <color theme="0"/>
      </top>
      <bottom/>
      <diagonal/>
    </border>
    <border>
      <left/>
      <right style="thick">
        <color theme="0"/>
      </right>
      <top/>
      <bottom/>
      <diagonal/>
    </border>
    <border>
      <left style="thick">
        <color theme="0"/>
      </left>
      <right/>
      <top/>
      <bottom style="thick">
        <color theme="0"/>
      </bottom>
      <diagonal/>
    </border>
    <border>
      <left/>
      <right style="thick">
        <color theme="0"/>
      </right>
      <top/>
      <bottom style="thick">
        <color theme="0"/>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thin">
        <color indexed="64"/>
      </left>
      <right/>
      <top style="double">
        <color indexed="64"/>
      </top>
      <bottom style="thin">
        <color indexed="64"/>
      </bottom>
      <diagonal/>
    </border>
    <border>
      <left/>
      <right style="thin">
        <color indexed="64"/>
      </right>
      <top style="double">
        <color indexed="64"/>
      </top>
      <bottom style="thin">
        <color indexed="64"/>
      </bottom>
      <diagonal/>
    </border>
    <border>
      <left style="thin">
        <color theme="0" tint="-0.34998626667073579"/>
      </left>
      <right/>
      <top style="thin">
        <color indexed="64"/>
      </top>
      <bottom style="thin">
        <color indexed="64"/>
      </bottom>
      <diagonal/>
    </border>
    <border>
      <left style="double">
        <color theme="0"/>
      </left>
      <right/>
      <top style="double">
        <color theme="0"/>
      </top>
      <bottom/>
      <diagonal/>
    </border>
    <border>
      <left/>
      <right/>
      <top style="double">
        <color theme="0"/>
      </top>
      <bottom/>
      <diagonal/>
    </border>
    <border>
      <left/>
      <right style="double">
        <color theme="0"/>
      </right>
      <top style="double">
        <color theme="0"/>
      </top>
      <bottom/>
      <diagonal/>
    </border>
    <border>
      <left style="double">
        <color theme="0"/>
      </left>
      <right/>
      <top/>
      <bottom/>
      <diagonal/>
    </border>
    <border>
      <left/>
      <right style="double">
        <color theme="0"/>
      </right>
      <top/>
      <bottom/>
      <diagonal/>
    </border>
    <border>
      <left style="double">
        <color theme="0"/>
      </left>
      <right/>
      <top/>
      <bottom style="double">
        <color theme="0"/>
      </bottom>
      <diagonal/>
    </border>
    <border>
      <left/>
      <right/>
      <top/>
      <bottom style="double">
        <color theme="0"/>
      </bottom>
      <diagonal/>
    </border>
    <border>
      <left/>
      <right style="double">
        <color theme="0"/>
      </right>
      <top/>
      <bottom style="double">
        <color theme="0"/>
      </bottom>
      <diagonal/>
    </border>
    <border>
      <left style="double">
        <color rgb="FF00823C"/>
      </left>
      <right/>
      <top style="double">
        <color rgb="FF00823C"/>
      </top>
      <bottom style="double">
        <color rgb="FF00823C"/>
      </bottom>
      <diagonal/>
    </border>
    <border>
      <left/>
      <right style="double">
        <color rgb="FF00823C"/>
      </right>
      <top style="double">
        <color rgb="FF00823C"/>
      </top>
      <bottom style="double">
        <color rgb="FF00823C"/>
      </bottom>
      <diagonal/>
    </border>
    <border>
      <left style="thin">
        <color rgb="FFA5FFC8"/>
      </left>
      <right/>
      <top style="thin">
        <color rgb="FFA5FFC8"/>
      </top>
      <bottom/>
      <diagonal/>
    </border>
    <border>
      <left/>
      <right/>
      <top style="thin">
        <color rgb="FFA5FFC8"/>
      </top>
      <bottom/>
      <diagonal/>
    </border>
    <border>
      <left/>
      <right style="thin">
        <color rgb="FFA5FFC8"/>
      </right>
      <top style="thin">
        <color rgb="FFA5FFC8"/>
      </top>
      <bottom/>
      <diagonal/>
    </border>
    <border>
      <left style="thin">
        <color rgb="FFA5FFC8"/>
      </left>
      <right/>
      <top/>
      <bottom/>
      <diagonal/>
    </border>
    <border>
      <left/>
      <right style="thin">
        <color rgb="FFA5FFC8"/>
      </right>
      <top/>
      <bottom/>
      <diagonal/>
    </border>
    <border>
      <left style="thin">
        <color rgb="FFA5FFC8"/>
      </left>
      <right/>
      <top/>
      <bottom style="thin">
        <color rgb="FFA5FFC8"/>
      </bottom>
      <diagonal/>
    </border>
    <border>
      <left/>
      <right/>
      <top/>
      <bottom style="thin">
        <color rgb="FFA5FFC8"/>
      </bottom>
      <diagonal/>
    </border>
    <border>
      <left/>
      <right style="thin">
        <color rgb="FFA5FFC8"/>
      </right>
      <top/>
      <bottom style="thin">
        <color rgb="FFA5FFC8"/>
      </bottom>
      <diagonal/>
    </border>
    <border>
      <left style="medium">
        <color rgb="FFFF99FF"/>
      </left>
      <right/>
      <top/>
      <bottom style="mediumDashed">
        <color rgb="FFFF99FF"/>
      </bottom>
      <diagonal/>
    </border>
    <border>
      <left/>
      <right/>
      <top/>
      <bottom style="mediumDashed">
        <color rgb="FFFF99FF"/>
      </bottom>
      <diagonal/>
    </border>
    <border>
      <left/>
      <right style="medium">
        <color rgb="FFFF99FF"/>
      </right>
      <top/>
      <bottom style="mediumDashed">
        <color rgb="FFFF99FF"/>
      </bottom>
      <diagonal/>
    </border>
    <border>
      <left style="medium">
        <color rgb="FFFF99FF"/>
      </left>
      <right/>
      <top style="mediumDashed">
        <color rgb="FFFF99FF"/>
      </top>
      <bottom/>
      <diagonal/>
    </border>
    <border>
      <left/>
      <right/>
      <top style="mediumDashed">
        <color rgb="FFFF99FF"/>
      </top>
      <bottom/>
      <diagonal/>
    </border>
    <border>
      <left/>
      <right style="medium">
        <color rgb="FFFF99FF"/>
      </right>
      <top style="mediumDashed">
        <color rgb="FFFF99FF"/>
      </top>
      <bottom/>
      <diagonal/>
    </border>
    <border>
      <left style="thin">
        <color rgb="FF00B050"/>
      </left>
      <right/>
      <top style="thin">
        <color rgb="FF64FFA5"/>
      </top>
      <bottom/>
      <diagonal/>
    </border>
    <border>
      <left style="thin">
        <color rgb="FF00B050"/>
      </left>
      <right/>
      <top/>
      <bottom style="thin">
        <color rgb="FF64FFA5"/>
      </bottom>
      <diagonal/>
    </border>
    <border>
      <left/>
      <right style="thin">
        <color rgb="FF00B050"/>
      </right>
      <top style="thin">
        <color rgb="FF64FFA5"/>
      </top>
      <bottom/>
      <diagonal/>
    </border>
    <border>
      <left/>
      <right style="thin">
        <color rgb="FF00B050"/>
      </right>
      <top/>
      <bottom style="thin">
        <color rgb="FF64FFA5"/>
      </bottom>
      <diagonal/>
    </border>
    <border>
      <left style="thick">
        <color rgb="FF00B050"/>
      </left>
      <right/>
      <top/>
      <bottom/>
      <diagonal/>
    </border>
    <border>
      <left/>
      <right style="thick">
        <color rgb="FF00B050"/>
      </right>
      <top/>
      <bottom/>
      <diagonal/>
    </border>
    <border>
      <left style="thick">
        <color rgb="FF00B050"/>
      </left>
      <right/>
      <top/>
      <bottom style="thick">
        <color rgb="FF00B050"/>
      </bottom>
      <diagonal/>
    </border>
    <border>
      <left/>
      <right/>
      <top/>
      <bottom style="thick">
        <color rgb="FF00B050"/>
      </bottom>
      <diagonal/>
    </border>
    <border>
      <left/>
      <right style="thick">
        <color rgb="FF00B050"/>
      </right>
      <top/>
      <bottom style="thick">
        <color rgb="FF00B050"/>
      </bottom>
      <diagonal/>
    </border>
    <border>
      <left style="thick">
        <color rgb="FF00B050"/>
      </left>
      <right/>
      <top style="thick">
        <color rgb="FF00B050"/>
      </top>
      <bottom/>
      <diagonal/>
    </border>
    <border>
      <left/>
      <right style="thick">
        <color rgb="FF00B050"/>
      </right>
      <top style="thick">
        <color rgb="FF00B050"/>
      </top>
      <bottom/>
      <diagonal/>
    </border>
  </borders>
  <cellStyleXfs count="6">
    <xf numFmtId="0" fontId="0" fillId="0" borderId="0"/>
    <xf numFmtId="9" fontId="1" fillId="0" borderId="0" applyFont="0" applyFill="0" applyBorder="0" applyAlignment="0" applyProtection="0"/>
    <xf numFmtId="0" fontId="2" fillId="0" borderId="0"/>
    <xf numFmtId="0" fontId="99" fillId="34" borderId="0" applyNumberFormat="0" applyBorder="0" applyAlignment="0" applyProtection="0"/>
    <xf numFmtId="0" fontId="154" fillId="0" borderId="0" applyNumberFormat="0" applyFill="0" applyBorder="0" applyAlignment="0" applyProtection="0"/>
    <xf numFmtId="44" fontId="1" fillId="0" borderId="0" applyFont="0" applyFill="0" applyBorder="0" applyAlignment="0" applyProtection="0"/>
  </cellStyleXfs>
  <cellXfs count="1488">
    <xf numFmtId="0" fontId="0" fillId="0" borderId="0" xfId="0"/>
    <xf numFmtId="0" fontId="9" fillId="4" borderId="0" xfId="0" applyFont="1" applyFill="1" applyBorder="1"/>
    <xf numFmtId="0" fontId="9" fillId="4" borderId="0" xfId="0" applyFont="1" applyFill="1"/>
    <xf numFmtId="0" fontId="9" fillId="7" borderId="0" xfId="0" applyFont="1" applyFill="1" applyBorder="1"/>
    <xf numFmtId="0" fontId="9" fillId="4" borderId="18" xfId="0" applyFont="1" applyFill="1" applyBorder="1"/>
    <xf numFmtId="0" fontId="9" fillId="4" borderId="19" xfId="0" applyFont="1" applyFill="1" applyBorder="1"/>
    <xf numFmtId="0" fontId="9" fillId="4" borderId="20" xfId="0" applyFont="1" applyFill="1" applyBorder="1"/>
    <xf numFmtId="0" fontId="9" fillId="7" borderId="0" xfId="0" applyFont="1" applyFill="1" applyBorder="1" applyAlignment="1">
      <alignment vertical="center" wrapText="1"/>
    </xf>
    <xf numFmtId="0" fontId="9" fillId="14" borderId="0" xfId="0" applyFont="1" applyFill="1" applyBorder="1"/>
    <xf numFmtId="0" fontId="9" fillId="14" borderId="32" xfId="0" applyFont="1" applyFill="1" applyBorder="1"/>
    <xf numFmtId="0" fontId="9" fillId="14" borderId="33" xfId="0" applyFont="1" applyFill="1" applyBorder="1"/>
    <xf numFmtId="0" fontId="25" fillId="14" borderId="0" xfId="0" applyFont="1" applyFill="1" applyBorder="1" applyAlignment="1">
      <alignment vertical="center"/>
    </xf>
    <xf numFmtId="0" fontId="25" fillId="14" borderId="32" xfId="0" applyFont="1" applyFill="1" applyBorder="1" applyAlignment="1">
      <alignment vertical="center"/>
    </xf>
    <xf numFmtId="0" fontId="24" fillId="14" borderId="0" xfId="0" applyFont="1" applyFill="1" applyBorder="1"/>
    <xf numFmtId="0" fontId="23" fillId="14" borderId="32" xfId="0" applyFont="1" applyFill="1" applyBorder="1" applyAlignment="1">
      <alignment vertical="center"/>
    </xf>
    <xf numFmtId="0" fontId="9" fillId="4" borderId="24" xfId="0" applyFont="1" applyFill="1" applyBorder="1" applyAlignment="1">
      <alignment horizontal="center" vertical="center"/>
    </xf>
    <xf numFmtId="9" fontId="16" fillId="4" borderId="0" xfId="1" applyFont="1" applyFill="1"/>
    <xf numFmtId="0" fontId="25" fillId="16" borderId="0" xfId="0" applyFont="1" applyFill="1" applyBorder="1" applyAlignment="1">
      <alignment vertical="center"/>
    </xf>
    <xf numFmtId="0" fontId="25" fillId="16" borderId="32" xfId="0" applyFont="1" applyFill="1" applyBorder="1" applyAlignment="1">
      <alignment vertical="center"/>
    </xf>
    <xf numFmtId="0" fontId="9" fillId="16" borderId="0" xfId="0" applyFont="1" applyFill="1" applyBorder="1"/>
    <xf numFmtId="0" fontId="9" fillId="16" borderId="32" xfId="0" applyFont="1" applyFill="1" applyBorder="1"/>
    <xf numFmtId="0" fontId="9" fillId="16" borderId="33" xfId="0" applyFont="1" applyFill="1" applyBorder="1"/>
    <xf numFmtId="0" fontId="23" fillId="16" borderId="0" xfId="0" applyFont="1" applyFill="1" applyBorder="1" applyAlignment="1">
      <alignment vertical="center"/>
    </xf>
    <xf numFmtId="0" fontId="23" fillId="16" borderId="32" xfId="0" applyFont="1" applyFill="1" applyBorder="1" applyAlignment="1">
      <alignment vertical="center"/>
    </xf>
    <xf numFmtId="0" fontId="9" fillId="9" borderId="0" xfId="0" applyFont="1" applyFill="1" applyBorder="1"/>
    <xf numFmtId="0" fontId="9" fillId="9" borderId="0" xfId="0" applyFont="1" applyFill="1" applyBorder="1" applyAlignment="1">
      <alignment horizontal="center" vertical="center" wrapText="1"/>
    </xf>
    <xf numFmtId="0" fontId="9" fillId="22" borderId="0" xfId="0" applyFont="1" applyFill="1" applyBorder="1"/>
    <xf numFmtId="0" fontId="9" fillId="3" borderId="0" xfId="0" applyFont="1" applyFill="1" applyBorder="1"/>
    <xf numFmtId="0" fontId="9" fillId="19" borderId="0" xfId="0" applyFont="1" applyFill="1" applyBorder="1"/>
    <xf numFmtId="0" fontId="9" fillId="26" borderId="0" xfId="0" applyFont="1" applyFill="1" applyBorder="1"/>
    <xf numFmtId="0" fontId="9" fillId="3" borderId="0" xfId="0" applyFont="1" applyFill="1" applyBorder="1" applyAlignment="1">
      <alignment vertical="center"/>
    </xf>
    <xf numFmtId="0" fontId="9" fillId="5" borderId="0" xfId="0" applyFont="1" applyFill="1" applyBorder="1" applyAlignment="1">
      <alignment vertical="center"/>
    </xf>
    <xf numFmtId="0" fontId="9" fillId="4" borderId="14" xfId="0" applyFont="1" applyFill="1" applyBorder="1"/>
    <xf numFmtId="0" fontId="9" fillId="4" borderId="15" xfId="0" applyFont="1" applyFill="1" applyBorder="1"/>
    <xf numFmtId="0" fontId="9" fillId="4" borderId="16" xfId="0" applyFont="1" applyFill="1" applyBorder="1"/>
    <xf numFmtId="0" fontId="9" fillId="7" borderId="50" xfId="0" applyFont="1" applyFill="1" applyBorder="1" applyAlignment="1">
      <alignment vertical="center" wrapText="1"/>
    </xf>
    <xf numFmtId="0" fontId="9" fillId="7" borderId="51" xfId="0" applyFont="1" applyFill="1" applyBorder="1" applyAlignment="1">
      <alignment vertical="center" wrapText="1"/>
    </xf>
    <xf numFmtId="0" fontId="16" fillId="4" borderId="0" xfId="0" applyFont="1" applyFill="1"/>
    <xf numFmtId="164" fontId="38" fillId="6" borderId="0" xfId="2" applyNumberFormat="1" applyFont="1" applyFill="1" applyAlignment="1">
      <alignment horizontal="center" vertical="center"/>
    </xf>
    <xf numFmtId="164" fontId="37" fillId="6" borderId="0" xfId="2" applyNumberFormat="1" applyFont="1" applyFill="1" applyAlignment="1">
      <alignment horizontal="center" vertical="center"/>
    </xf>
    <xf numFmtId="0" fontId="16" fillId="19" borderId="0" xfId="0" applyFont="1" applyFill="1" applyBorder="1"/>
    <xf numFmtId="0" fontId="42" fillId="9" borderId="0" xfId="0" applyFont="1" applyFill="1" applyBorder="1"/>
    <xf numFmtId="0" fontId="45" fillId="8" borderId="0" xfId="0" applyFont="1" applyFill="1" applyBorder="1"/>
    <xf numFmtId="0" fontId="46" fillId="8" borderId="0" xfId="0" applyFont="1" applyFill="1" applyBorder="1"/>
    <xf numFmtId="0" fontId="45" fillId="8" borderId="0" xfId="0" applyFont="1" applyFill="1" applyBorder="1" applyAlignment="1">
      <alignment horizontal="right"/>
    </xf>
    <xf numFmtId="0" fontId="46" fillId="4" borderId="0" xfId="0" applyFont="1" applyFill="1"/>
    <xf numFmtId="0" fontId="9" fillId="4" borderId="0" xfId="0" applyFont="1" applyFill="1" applyAlignment="1">
      <alignment wrapText="1"/>
    </xf>
    <xf numFmtId="0" fontId="9" fillId="4" borderId="0" xfId="0" quotePrefix="1" applyFont="1" applyFill="1"/>
    <xf numFmtId="0" fontId="14" fillId="4" borderId="0" xfId="0" applyFont="1" applyFill="1" applyAlignment="1">
      <alignment horizontal="right"/>
    </xf>
    <xf numFmtId="0" fontId="49" fillId="4" borderId="0" xfId="0" applyFont="1" applyFill="1"/>
    <xf numFmtId="0" fontId="14" fillId="4" borderId="0" xfId="0" applyFont="1" applyFill="1" applyAlignment="1">
      <alignment horizontal="right" indent="1"/>
    </xf>
    <xf numFmtId="0" fontId="16" fillId="14" borderId="69" xfId="0" applyFont="1" applyFill="1" applyBorder="1" applyAlignment="1">
      <alignment horizontal="center" vertical="center"/>
    </xf>
    <xf numFmtId="0" fontId="16" fillId="14" borderId="70" xfId="0" applyFont="1" applyFill="1" applyBorder="1"/>
    <xf numFmtId="0" fontId="16" fillId="14" borderId="71" xfId="0" applyFont="1" applyFill="1" applyBorder="1"/>
    <xf numFmtId="0" fontId="16" fillId="16" borderId="69" xfId="0" applyFont="1" applyFill="1" applyBorder="1" applyAlignment="1">
      <alignment horizontal="center" vertical="center"/>
    </xf>
    <xf numFmtId="0" fontId="9" fillId="16" borderId="70" xfId="0" applyFont="1" applyFill="1" applyBorder="1"/>
    <xf numFmtId="0" fontId="9" fillId="16" borderId="71" xfId="0" applyFont="1" applyFill="1" applyBorder="1"/>
    <xf numFmtId="0" fontId="22" fillId="14" borderId="72" xfId="0" applyFont="1" applyFill="1" applyBorder="1"/>
    <xf numFmtId="0" fontId="22" fillId="14" borderId="73" xfId="0" applyFont="1" applyFill="1" applyBorder="1"/>
    <xf numFmtId="0" fontId="22" fillId="14" borderId="74" xfId="0" applyFont="1" applyFill="1" applyBorder="1"/>
    <xf numFmtId="0" fontId="22" fillId="16" borderId="72" xfId="0" applyFont="1" applyFill="1" applyBorder="1"/>
    <xf numFmtId="0" fontId="22" fillId="16" borderId="73" xfId="0" applyFont="1" applyFill="1" applyBorder="1"/>
    <xf numFmtId="0" fontId="22" fillId="16" borderId="74" xfId="0" applyFont="1" applyFill="1" applyBorder="1"/>
    <xf numFmtId="0" fontId="22" fillId="16" borderId="76" xfId="0" applyFont="1" applyFill="1" applyBorder="1"/>
    <xf numFmtId="0" fontId="22" fillId="16" borderId="77" xfId="0" applyFont="1" applyFill="1" applyBorder="1"/>
    <xf numFmtId="0" fontId="22" fillId="16" borderId="78" xfId="0" applyFont="1" applyFill="1" applyBorder="1"/>
    <xf numFmtId="0" fontId="22" fillId="16" borderId="79" xfId="0" applyFont="1" applyFill="1" applyBorder="1"/>
    <xf numFmtId="0" fontId="25" fillId="16" borderId="2" xfId="0" applyFont="1" applyFill="1" applyBorder="1" applyAlignment="1">
      <alignment vertical="center"/>
    </xf>
    <xf numFmtId="0" fontId="9" fillId="16" borderId="2" xfId="0" applyFont="1" applyFill="1" applyBorder="1"/>
    <xf numFmtId="0" fontId="9" fillId="16" borderId="82" xfId="0" applyFont="1" applyFill="1" applyBorder="1"/>
    <xf numFmtId="0" fontId="22" fillId="16" borderId="84" xfId="0" applyFont="1" applyFill="1" applyBorder="1"/>
    <xf numFmtId="0" fontId="23" fillId="16" borderId="2" xfId="0" applyFont="1" applyFill="1" applyBorder="1" applyAlignment="1">
      <alignment vertical="center"/>
    </xf>
    <xf numFmtId="0" fontId="16" fillId="16" borderId="1" xfId="0" applyFont="1" applyFill="1" applyBorder="1" applyAlignment="1">
      <alignment horizontal="center" vertical="center"/>
    </xf>
    <xf numFmtId="0" fontId="9" fillId="16" borderId="86" xfId="0" applyFont="1" applyFill="1" applyBorder="1"/>
    <xf numFmtId="0" fontId="9" fillId="16" borderId="87" xfId="0" applyFont="1" applyFill="1" applyBorder="1"/>
    <xf numFmtId="0" fontId="9" fillId="16" borderId="88" xfId="0" applyFont="1" applyFill="1" applyBorder="1"/>
    <xf numFmtId="0" fontId="22" fillId="14" borderId="75" xfId="0" applyFont="1" applyFill="1" applyBorder="1"/>
    <xf numFmtId="0" fontId="22" fillId="14" borderId="76" xfId="0" applyFont="1" applyFill="1" applyBorder="1"/>
    <xf numFmtId="0" fontId="22" fillId="14" borderId="77" xfId="0" applyFont="1" applyFill="1" applyBorder="1"/>
    <xf numFmtId="0" fontId="22" fillId="14" borderId="78" xfId="0" applyFont="1" applyFill="1" applyBorder="1"/>
    <xf numFmtId="0" fontId="22" fillId="14" borderId="79" xfId="0" applyFont="1" applyFill="1" applyBorder="1"/>
    <xf numFmtId="0" fontId="24" fillId="14" borderId="2" xfId="0" applyFont="1" applyFill="1" applyBorder="1"/>
    <xf numFmtId="0" fontId="9" fillId="14" borderId="80" xfId="0" applyFont="1" applyFill="1" applyBorder="1"/>
    <xf numFmtId="0" fontId="9" fillId="14" borderId="2" xfId="0" applyFont="1" applyFill="1" applyBorder="1"/>
    <xf numFmtId="0" fontId="16" fillId="14" borderId="81" xfId="0" applyFont="1" applyFill="1" applyBorder="1"/>
    <xf numFmtId="0" fontId="16" fillId="14" borderId="82" xfId="0" applyFont="1" applyFill="1" applyBorder="1"/>
    <xf numFmtId="0" fontId="22" fillId="14" borderId="83" xfId="0" applyFont="1" applyFill="1" applyBorder="1"/>
    <xf numFmtId="0" fontId="22" fillId="14" borderId="84" xfId="0" applyFont="1" applyFill="1" applyBorder="1"/>
    <xf numFmtId="0" fontId="25" fillId="14" borderId="2" xfId="0" applyFont="1" applyFill="1" applyBorder="1" applyAlignment="1">
      <alignment vertical="center"/>
    </xf>
    <xf numFmtId="0" fontId="16" fillId="14" borderId="85" xfId="0" applyFont="1" applyFill="1" applyBorder="1"/>
    <xf numFmtId="0" fontId="16" fillId="14" borderId="1" xfId="0" applyFont="1" applyFill="1" applyBorder="1" applyAlignment="1">
      <alignment horizontal="center" vertical="center"/>
    </xf>
    <xf numFmtId="0" fontId="16" fillId="14" borderId="86" xfId="0" applyFont="1" applyFill="1" applyBorder="1"/>
    <xf numFmtId="0" fontId="16" fillId="14" borderId="87" xfId="0" applyFont="1" applyFill="1" applyBorder="1"/>
    <xf numFmtId="0" fontId="16" fillId="14" borderId="88" xfId="0" applyFont="1" applyFill="1" applyBorder="1"/>
    <xf numFmtId="0" fontId="17" fillId="22" borderId="0" xfId="0" applyFont="1" applyFill="1" applyBorder="1" applyAlignment="1">
      <alignment horizontal="left" vertical="center" indent="1"/>
    </xf>
    <xf numFmtId="0" fontId="53" fillId="17" borderId="0" xfId="0" applyFont="1" applyFill="1" applyBorder="1" applyAlignment="1">
      <alignment vertical="center"/>
    </xf>
    <xf numFmtId="0" fontId="54" fillId="17" borderId="0" xfId="0" applyFont="1" applyFill="1" applyBorder="1" applyAlignment="1">
      <alignment vertical="center"/>
    </xf>
    <xf numFmtId="0" fontId="17" fillId="3" borderId="0" xfId="0" applyFont="1" applyFill="1" applyBorder="1" applyAlignment="1">
      <alignment horizontal="left" vertical="center" indent="1"/>
    </xf>
    <xf numFmtId="0" fontId="17" fillId="5" borderId="0" xfId="0" applyFont="1" applyFill="1" applyBorder="1" applyAlignment="1">
      <alignment horizontal="left" vertical="center" indent="1"/>
    </xf>
    <xf numFmtId="0" fontId="17" fillId="26" borderId="0" xfId="0" applyFont="1" applyFill="1" applyBorder="1" applyAlignment="1">
      <alignment horizontal="left" vertical="center" indent="1"/>
    </xf>
    <xf numFmtId="0" fontId="9" fillId="22" borderId="0" xfId="0" applyFont="1" applyFill="1" applyBorder="1" applyAlignment="1"/>
    <xf numFmtId="0" fontId="55" fillId="25" borderId="0" xfId="0" applyFont="1" applyFill="1" applyBorder="1" applyAlignment="1">
      <alignment vertical="center"/>
    </xf>
    <xf numFmtId="0" fontId="53" fillId="25" borderId="0" xfId="0" applyFont="1" applyFill="1" applyBorder="1"/>
    <xf numFmtId="0" fontId="53" fillId="30" borderId="0" xfId="0" applyFont="1" applyFill="1" applyBorder="1"/>
    <xf numFmtId="0" fontId="57" fillId="30" borderId="0" xfId="0" applyFont="1" applyFill="1" applyBorder="1" applyAlignment="1">
      <alignment horizontal="right" vertical="center"/>
    </xf>
    <xf numFmtId="0" fontId="56" fillId="25" borderId="0" xfId="0" applyFont="1" applyFill="1" applyBorder="1" applyAlignment="1">
      <alignment vertical="center"/>
    </xf>
    <xf numFmtId="0" fontId="56" fillId="30" borderId="0" xfId="0" applyFont="1" applyFill="1" applyBorder="1" applyAlignment="1">
      <alignment horizontal="right"/>
    </xf>
    <xf numFmtId="0" fontId="58" fillId="25" borderId="0" xfId="0" applyFont="1" applyFill="1" applyBorder="1"/>
    <xf numFmtId="0" fontId="58" fillId="30" borderId="0" xfId="0" applyFont="1" applyFill="1" applyBorder="1"/>
    <xf numFmtId="0" fontId="59" fillId="25" borderId="0" xfId="0" applyFont="1" applyFill="1" applyBorder="1" applyAlignment="1">
      <alignment vertical="center"/>
    </xf>
    <xf numFmtId="0" fontId="60" fillId="30" borderId="0" xfId="0" applyFont="1" applyFill="1" applyBorder="1" applyAlignment="1">
      <alignment horizontal="right" vertical="center"/>
    </xf>
    <xf numFmtId="0" fontId="9" fillId="9" borderId="0" xfId="0" applyFont="1" applyFill="1" applyBorder="1" applyAlignment="1">
      <alignment horizontal="left"/>
    </xf>
    <xf numFmtId="0" fontId="9" fillId="32" borderId="0" xfId="0" applyFont="1" applyFill="1" applyBorder="1"/>
    <xf numFmtId="0" fontId="70" fillId="32" borderId="0" xfId="0" applyFont="1" applyFill="1" applyBorder="1"/>
    <xf numFmtId="0" fontId="71" fillId="32" borderId="0" xfId="0" applyFont="1" applyFill="1" applyBorder="1" applyAlignment="1">
      <alignment horizontal="right"/>
    </xf>
    <xf numFmtId="0" fontId="78" fillId="25" borderId="0" xfId="0" applyFont="1" applyFill="1" applyBorder="1" applyAlignment="1">
      <alignment vertical="center"/>
    </xf>
    <xf numFmtId="0" fontId="79" fillId="30" borderId="0" xfId="0" applyFont="1" applyFill="1" applyBorder="1" applyAlignment="1">
      <alignment horizontal="right" vertical="center"/>
    </xf>
    <xf numFmtId="0" fontId="52" fillId="14" borderId="80" xfId="0" applyFont="1" applyFill="1" applyBorder="1" applyAlignment="1">
      <alignment horizontal="left" vertical="center" indent="1"/>
    </xf>
    <xf numFmtId="0" fontId="52" fillId="14" borderId="33" xfId="0" applyFont="1" applyFill="1" applyBorder="1" applyAlignment="1">
      <alignment horizontal="left" vertical="center" indent="1"/>
    </xf>
    <xf numFmtId="0" fontId="52" fillId="16" borderId="33" xfId="0" applyFont="1" applyFill="1" applyBorder="1" applyAlignment="1">
      <alignment horizontal="left" vertical="center" indent="1"/>
    </xf>
    <xf numFmtId="0" fontId="82" fillId="16" borderId="80" xfId="0" applyFont="1" applyFill="1" applyBorder="1" applyAlignment="1">
      <alignment horizontal="left" vertical="center" indent="1"/>
    </xf>
    <xf numFmtId="0" fontId="82" fillId="16" borderId="33" xfId="0" applyFont="1" applyFill="1" applyBorder="1" applyAlignment="1">
      <alignment horizontal="left" vertical="center" indent="1"/>
    </xf>
    <xf numFmtId="0" fontId="82" fillId="14" borderId="80" xfId="0" applyFont="1" applyFill="1" applyBorder="1" applyAlignment="1">
      <alignment horizontal="left" vertical="center" indent="1"/>
    </xf>
    <xf numFmtId="0" fontId="82" fillId="14" borderId="33" xfId="0" applyFont="1" applyFill="1" applyBorder="1" applyAlignment="1">
      <alignment horizontal="left" vertical="center" indent="1"/>
    </xf>
    <xf numFmtId="0" fontId="52" fillId="16" borderId="80" xfId="0" applyFont="1" applyFill="1" applyBorder="1" applyAlignment="1">
      <alignment horizontal="left" vertical="center" indent="1"/>
    </xf>
    <xf numFmtId="0" fontId="83" fillId="4" borderId="0" xfId="0" applyFont="1" applyFill="1"/>
    <xf numFmtId="0" fontId="84" fillId="4" borderId="0" xfId="0" applyFont="1" applyFill="1"/>
    <xf numFmtId="0" fontId="83" fillId="4" borderId="0" xfId="0" applyFont="1" applyFill="1" applyAlignment="1">
      <alignment horizontal="right" indent="1"/>
    </xf>
    <xf numFmtId="0" fontId="85" fillId="17" borderId="0" xfId="0" applyFont="1" applyFill="1" applyBorder="1" applyAlignment="1">
      <alignment horizontal="left" vertical="center" indent="1"/>
    </xf>
    <xf numFmtId="0" fontId="90" fillId="0" borderId="0" xfId="0" applyFont="1"/>
    <xf numFmtId="164" fontId="93" fillId="6" borderId="0" xfId="2" applyNumberFormat="1" applyFont="1" applyFill="1" applyAlignment="1">
      <alignment horizontal="center" vertical="center"/>
    </xf>
    <xf numFmtId="0" fontId="94" fillId="4" borderId="0" xfId="0" applyFont="1" applyFill="1" applyAlignment="1">
      <alignment horizontal="left" indent="2"/>
    </xf>
    <xf numFmtId="0" fontId="95" fillId="4" borderId="0" xfId="0" applyFont="1" applyFill="1"/>
    <xf numFmtId="0" fontId="24" fillId="7" borderId="0" xfId="0" applyFont="1" applyFill="1" applyBorder="1"/>
    <xf numFmtId="0" fontId="9" fillId="31" borderId="0" xfId="0" applyFont="1" applyFill="1" applyBorder="1"/>
    <xf numFmtId="0" fontId="9" fillId="35" borderId="0" xfId="0" applyFont="1" applyFill="1" applyBorder="1" applyAlignment="1">
      <alignment vertical="center" wrapText="1"/>
    </xf>
    <xf numFmtId="0" fontId="111" fillId="0" borderId="0" xfId="0" applyFont="1"/>
    <xf numFmtId="0" fontId="9" fillId="4" borderId="0" xfId="0" applyFont="1" applyFill="1" applyAlignment="1">
      <alignment horizontal="left" vertical="top"/>
    </xf>
    <xf numFmtId="2" fontId="9" fillId="4" borderId="0" xfId="0" applyNumberFormat="1" applyFont="1" applyFill="1"/>
    <xf numFmtId="0" fontId="9" fillId="4" borderId="0" xfId="0" applyFont="1" applyFill="1" applyAlignment="1">
      <alignment horizontal="center" vertical="center"/>
    </xf>
    <xf numFmtId="0" fontId="16" fillId="4" borderId="0" xfId="0" applyFont="1" applyFill="1" applyAlignment="1">
      <alignment horizontal="center" vertical="center"/>
    </xf>
    <xf numFmtId="0" fontId="9" fillId="4" borderId="0" xfId="0" quotePrefix="1" applyFont="1" applyFill="1" applyAlignment="1">
      <alignment horizontal="center" vertical="center"/>
    </xf>
    <xf numFmtId="0" fontId="9" fillId="4" borderId="0" xfId="0" applyFont="1" applyFill="1" applyAlignment="1"/>
    <xf numFmtId="0" fontId="115" fillId="26" borderId="0" xfId="0" applyFont="1" applyFill="1" applyBorder="1" applyAlignment="1">
      <alignment vertical="center"/>
    </xf>
    <xf numFmtId="0" fontId="9" fillId="4" borderId="0" xfId="0" applyFont="1" applyFill="1" applyAlignment="1">
      <alignment horizontal="left"/>
    </xf>
    <xf numFmtId="0" fontId="116" fillId="26" borderId="0" xfId="0" applyFont="1" applyFill="1" applyBorder="1" applyAlignment="1">
      <alignment vertical="top" wrapText="1"/>
    </xf>
    <xf numFmtId="0" fontId="8" fillId="0" borderId="0" xfId="0" applyFont="1"/>
    <xf numFmtId="0" fontId="9" fillId="31" borderId="105" xfId="0" applyFont="1" applyFill="1" applyBorder="1"/>
    <xf numFmtId="0" fontId="9" fillId="31" borderId="108" xfId="0" applyFont="1" applyFill="1" applyBorder="1"/>
    <xf numFmtId="0" fontId="9" fillId="31" borderId="110" xfId="0" applyFont="1" applyFill="1" applyBorder="1"/>
    <xf numFmtId="0" fontId="9" fillId="7" borderId="113" xfId="0" applyFont="1" applyFill="1" applyBorder="1"/>
    <xf numFmtId="0" fontId="9" fillId="7" borderId="116" xfId="0" applyFont="1" applyFill="1" applyBorder="1"/>
    <xf numFmtId="0" fontId="9" fillId="7" borderId="118" xfId="0" applyFont="1" applyFill="1" applyBorder="1"/>
    <xf numFmtId="0" fontId="30" fillId="7" borderId="116" xfId="0" applyFont="1" applyFill="1" applyBorder="1"/>
    <xf numFmtId="0" fontId="126" fillId="4" borderId="0" xfId="0" applyFont="1" applyFill="1"/>
    <xf numFmtId="0" fontId="9" fillId="35" borderId="128" xfId="0" applyFont="1" applyFill="1" applyBorder="1" applyAlignment="1">
      <alignment vertical="center" wrapText="1"/>
    </xf>
    <xf numFmtId="0" fontId="9" fillId="35" borderId="130" xfId="0" applyFont="1" applyFill="1" applyBorder="1" applyAlignment="1">
      <alignment vertical="center" wrapText="1"/>
    </xf>
    <xf numFmtId="0" fontId="9" fillId="4" borderId="0" xfId="0" applyFont="1" applyFill="1" applyAlignment="1">
      <alignment horizontal="right"/>
    </xf>
    <xf numFmtId="0" fontId="9" fillId="11" borderId="0" xfId="0" applyFont="1" applyFill="1" applyBorder="1"/>
    <xf numFmtId="0" fontId="137" fillId="0" borderId="0" xfId="0" applyFont="1" applyAlignment="1">
      <alignment horizontal="left" vertical="center"/>
    </xf>
    <xf numFmtId="0" fontId="43" fillId="37" borderId="0" xfId="0" applyFont="1" applyFill="1" applyBorder="1"/>
    <xf numFmtId="0" fontId="44" fillId="37" borderId="0" xfId="0" applyFont="1" applyFill="1" applyBorder="1"/>
    <xf numFmtId="0" fontId="43" fillId="37" borderId="0" xfId="0" applyFont="1" applyFill="1" applyBorder="1" applyAlignment="1">
      <alignment horizontal="right"/>
    </xf>
    <xf numFmtId="0" fontId="119" fillId="9" borderId="0" xfId="0" applyFont="1" applyFill="1" applyBorder="1" applyAlignment="1">
      <alignment wrapText="1"/>
    </xf>
    <xf numFmtId="0" fontId="9" fillId="37" borderId="0" xfId="0" applyFont="1" applyFill="1" applyBorder="1"/>
    <xf numFmtId="0" fontId="16" fillId="37" borderId="146" xfId="0" applyFont="1" applyFill="1" applyBorder="1"/>
    <xf numFmtId="0" fontId="9" fillId="37" borderId="147" xfId="0" applyFont="1" applyFill="1" applyBorder="1"/>
    <xf numFmtId="0" fontId="16" fillId="37" borderId="0" xfId="0" applyFont="1" applyFill="1" applyBorder="1" applyAlignment="1">
      <alignment horizontal="left" indent="1"/>
    </xf>
    <xf numFmtId="0" fontId="16" fillId="40" borderId="148" xfId="0" applyFont="1" applyFill="1" applyBorder="1"/>
    <xf numFmtId="0" fontId="16" fillId="37" borderId="148" xfId="0" applyFont="1" applyFill="1" applyBorder="1"/>
    <xf numFmtId="0" fontId="9" fillId="37" borderId="149" xfId="0" applyFont="1" applyFill="1" applyBorder="1"/>
    <xf numFmtId="0" fontId="16" fillId="37" borderId="150" xfId="0" applyFont="1" applyFill="1" applyBorder="1" applyAlignment="1">
      <alignment horizontal="left" indent="1"/>
    </xf>
    <xf numFmtId="0" fontId="9" fillId="37" borderId="150" xfId="0" applyFont="1" applyFill="1" applyBorder="1"/>
    <xf numFmtId="0" fontId="16" fillId="37" borderId="151" xfId="0" applyFont="1" applyFill="1" applyBorder="1"/>
    <xf numFmtId="0" fontId="16" fillId="40" borderId="151" xfId="0" applyFont="1" applyFill="1" applyBorder="1"/>
    <xf numFmtId="0" fontId="145" fillId="37" borderId="145" xfId="0" applyFont="1" applyFill="1" applyBorder="1" applyAlignment="1">
      <alignment vertical="center" shrinkToFit="1"/>
    </xf>
    <xf numFmtId="0" fontId="145" fillId="40" borderId="0" xfId="0" applyFont="1" applyFill="1" applyBorder="1" applyAlignment="1">
      <alignment vertical="center" shrinkToFit="1"/>
    </xf>
    <xf numFmtId="0" fontId="145" fillId="37" borderId="0" xfId="0" applyFont="1" applyFill="1" applyBorder="1" applyAlignment="1">
      <alignment vertical="center" shrinkToFit="1"/>
    </xf>
    <xf numFmtId="0" fontId="145" fillId="40" borderId="150" xfId="0" applyFont="1" applyFill="1" applyBorder="1" applyAlignment="1">
      <alignment vertical="center" shrinkToFit="1"/>
    </xf>
    <xf numFmtId="0" fontId="145" fillId="40" borderId="145" xfId="0" applyFont="1" applyFill="1" applyBorder="1" applyAlignment="1">
      <alignment vertical="center" shrinkToFit="1"/>
    </xf>
    <xf numFmtId="0" fontId="147" fillId="4" borderId="0" xfId="0" applyFont="1" applyFill="1" applyAlignment="1">
      <alignment horizontal="center" vertical="center"/>
    </xf>
    <xf numFmtId="0" fontId="146" fillId="2" borderId="17" xfId="0" applyFont="1" applyFill="1" applyBorder="1" applyAlignment="1">
      <alignment horizontal="center" vertical="center"/>
    </xf>
    <xf numFmtId="0" fontId="146" fillId="8" borderId="17" xfId="0" applyFont="1" applyFill="1" applyBorder="1" applyAlignment="1">
      <alignment horizontal="center" vertical="center"/>
    </xf>
    <xf numFmtId="0" fontId="146" fillId="2" borderId="0" xfId="0" applyFont="1" applyFill="1" applyBorder="1" applyAlignment="1">
      <alignment horizontal="center" vertical="center"/>
    </xf>
    <xf numFmtId="0" fontId="145" fillId="40" borderId="154" xfId="0" applyFont="1" applyFill="1" applyBorder="1" applyAlignment="1">
      <alignment vertical="center" shrinkToFit="1"/>
    </xf>
    <xf numFmtId="165" fontId="22" fillId="38" borderId="0" xfId="0" applyNumberFormat="1" applyFont="1" applyFill="1" applyBorder="1" applyAlignment="1">
      <alignment horizontal="right" vertical="top" wrapText="1" indent="1"/>
    </xf>
    <xf numFmtId="0" fontId="157" fillId="38" borderId="0" xfId="0" applyFont="1" applyFill="1" applyBorder="1" applyAlignment="1">
      <alignment vertical="top" wrapText="1"/>
    </xf>
    <xf numFmtId="0" fontId="158" fillId="0" borderId="0" xfId="0" applyFont="1"/>
    <xf numFmtId="0" fontId="14" fillId="4" borderId="0" xfId="0" applyFont="1" applyFill="1"/>
    <xf numFmtId="0" fontId="105" fillId="38" borderId="0" xfId="0" applyFont="1" applyFill="1" applyBorder="1" applyAlignment="1">
      <alignment horizontal="left" vertical="center" wrapText="1"/>
    </xf>
    <xf numFmtId="0" fontId="157" fillId="38" borderId="0" xfId="0" applyFont="1" applyFill="1" applyBorder="1" applyAlignment="1">
      <alignment horizontal="left" vertical="top" wrapText="1"/>
    </xf>
    <xf numFmtId="164" fontId="37" fillId="6" borderId="0" xfId="2" applyNumberFormat="1" applyFont="1" applyFill="1" applyAlignment="1">
      <alignment horizontal="right" vertical="center"/>
    </xf>
    <xf numFmtId="164" fontId="38" fillId="6" borderId="0" xfId="2" applyNumberFormat="1" applyFont="1" applyFill="1" applyAlignment="1">
      <alignment horizontal="left" vertical="center"/>
    </xf>
    <xf numFmtId="164" fontId="93" fillId="6" borderId="0" xfId="2" applyNumberFormat="1" applyFont="1" applyFill="1" applyAlignment="1">
      <alignment horizontal="left" vertical="center"/>
    </xf>
    <xf numFmtId="0" fontId="177" fillId="4" borderId="0" xfId="0" applyFont="1" applyFill="1"/>
    <xf numFmtId="0" fontId="9" fillId="38" borderId="0" xfId="0" applyFont="1" applyFill="1" applyBorder="1"/>
    <xf numFmtId="0" fontId="9" fillId="38" borderId="158" xfId="0" applyFont="1" applyFill="1" applyBorder="1"/>
    <xf numFmtId="0" fontId="9" fillId="38" borderId="159" xfId="0" applyFont="1" applyFill="1" applyBorder="1"/>
    <xf numFmtId="0" fontId="21" fillId="42" borderId="161" xfId="0" applyFont="1" applyFill="1" applyBorder="1"/>
    <xf numFmtId="0" fontId="9" fillId="9" borderId="163" xfId="0" applyFont="1" applyFill="1" applyBorder="1"/>
    <xf numFmtId="0" fontId="9" fillId="9" borderId="164" xfId="0" applyFont="1" applyFill="1" applyBorder="1"/>
    <xf numFmtId="0" fontId="9" fillId="9" borderId="165" xfId="0" applyFont="1" applyFill="1" applyBorder="1"/>
    <xf numFmtId="0" fontId="9" fillId="9" borderId="166" xfId="0" applyFont="1" applyFill="1" applyBorder="1"/>
    <xf numFmtId="0" fontId="9" fillId="9" borderId="167" xfId="0" applyFont="1" applyFill="1" applyBorder="1"/>
    <xf numFmtId="0" fontId="21" fillId="42" borderId="0" xfId="0" applyFont="1" applyFill="1" applyBorder="1"/>
    <xf numFmtId="0" fontId="13" fillId="12" borderId="168" xfId="0" applyFont="1" applyFill="1" applyBorder="1" applyAlignment="1">
      <alignment horizontal="left" indent="1"/>
    </xf>
    <xf numFmtId="0" fontId="13" fillId="12" borderId="169" xfId="0" applyFont="1" applyFill="1" applyBorder="1"/>
    <xf numFmtId="0" fontId="9" fillId="38" borderId="171" xfId="0" applyFont="1" applyFill="1" applyBorder="1"/>
    <xf numFmtId="0" fontId="9" fillId="38" borderId="172" xfId="0" applyFont="1" applyFill="1" applyBorder="1"/>
    <xf numFmtId="0" fontId="9" fillId="38" borderId="173" xfId="0" applyFont="1" applyFill="1" applyBorder="1"/>
    <xf numFmtId="0" fontId="179" fillId="42" borderId="160" xfId="0" applyFont="1" applyFill="1" applyBorder="1" applyAlignment="1">
      <alignment horizontal="center" vertical="center"/>
    </xf>
    <xf numFmtId="0" fontId="179" fillId="42" borderId="162" xfId="0" applyFont="1" applyFill="1" applyBorder="1" applyAlignment="1">
      <alignment horizontal="center" vertical="center"/>
    </xf>
    <xf numFmtId="0" fontId="170" fillId="38" borderId="0" xfId="0" applyFont="1" applyFill="1" applyBorder="1" applyAlignment="1">
      <alignment horizontal="right" vertical="top"/>
    </xf>
    <xf numFmtId="0" fontId="161" fillId="38" borderId="0" xfId="0" applyFont="1" applyFill="1" applyBorder="1" applyAlignment="1">
      <alignment vertical="center"/>
    </xf>
    <xf numFmtId="0" fontId="171" fillId="39" borderId="168" xfId="4" applyFont="1" applyFill="1" applyBorder="1" applyAlignment="1">
      <alignment horizontal="center" vertical="center"/>
    </xf>
    <xf numFmtId="0" fontId="105" fillId="39" borderId="169" xfId="0" applyFont="1" applyFill="1" applyBorder="1" applyAlignment="1">
      <alignment horizontal="left" vertical="center" wrapText="1"/>
    </xf>
    <xf numFmtId="0" fontId="147" fillId="39" borderId="169" xfId="0" applyFont="1" applyFill="1" applyBorder="1" applyAlignment="1">
      <alignment horizontal="center" vertical="center"/>
    </xf>
    <xf numFmtId="0" fontId="156" fillId="39" borderId="170" xfId="4" applyFont="1" applyFill="1" applyBorder="1" applyAlignment="1">
      <alignment horizontal="center" vertical="center"/>
    </xf>
    <xf numFmtId="0" fontId="147" fillId="38" borderId="159" xfId="0" applyFont="1" applyFill="1" applyBorder="1" applyAlignment="1">
      <alignment horizontal="center" vertical="center"/>
    </xf>
    <xf numFmtId="0" fontId="147" fillId="38" borderId="158" xfId="0" applyFont="1" applyFill="1" applyBorder="1" applyAlignment="1">
      <alignment horizontal="center" vertical="center"/>
    </xf>
    <xf numFmtId="0" fontId="146" fillId="8" borderId="168" xfId="0" applyFont="1" applyFill="1" applyBorder="1" applyAlignment="1">
      <alignment horizontal="center" vertical="center"/>
    </xf>
    <xf numFmtId="0" fontId="21" fillId="8" borderId="169" xfId="0" applyFont="1" applyFill="1" applyBorder="1"/>
    <xf numFmtId="0" fontId="146" fillId="8" borderId="174" xfId="0" applyFont="1" applyFill="1" applyBorder="1" applyAlignment="1">
      <alignment horizontal="center" vertical="center"/>
    </xf>
    <xf numFmtId="0" fontId="146" fillId="8" borderId="170" xfId="0" applyFont="1" applyFill="1" applyBorder="1" applyAlignment="1">
      <alignment horizontal="center" vertical="center"/>
    </xf>
    <xf numFmtId="0" fontId="147" fillId="9" borderId="159" xfId="0" applyFont="1" applyFill="1" applyBorder="1" applyAlignment="1">
      <alignment horizontal="center" vertical="center"/>
    </xf>
    <xf numFmtId="0" fontId="147" fillId="9" borderId="158" xfId="0" applyFont="1" applyFill="1" applyBorder="1" applyAlignment="1">
      <alignment horizontal="center" vertical="center"/>
    </xf>
    <xf numFmtId="0" fontId="147" fillId="9" borderId="171" xfId="0" applyFont="1" applyFill="1" applyBorder="1" applyAlignment="1">
      <alignment horizontal="center" vertical="center"/>
    </xf>
    <xf numFmtId="0" fontId="105" fillId="9" borderId="172" xfId="0" applyFont="1" applyFill="1" applyBorder="1" applyAlignment="1">
      <alignment horizontal="left" vertical="center" wrapText="1"/>
    </xf>
    <xf numFmtId="0" fontId="147" fillId="9" borderId="173" xfId="0" applyFont="1" applyFill="1" applyBorder="1" applyAlignment="1">
      <alignment horizontal="center" vertical="center"/>
    </xf>
    <xf numFmtId="165" fontId="88" fillId="9" borderId="0" xfId="0" applyNumberFormat="1" applyFont="1" applyFill="1" applyBorder="1"/>
    <xf numFmtId="165" fontId="16" fillId="9" borderId="0" xfId="0" applyNumberFormat="1" applyFont="1" applyFill="1" applyBorder="1"/>
    <xf numFmtId="0" fontId="9" fillId="9" borderId="172" xfId="0" applyFont="1" applyFill="1" applyBorder="1"/>
    <xf numFmtId="0" fontId="146" fillId="8" borderId="158" xfId="0" applyFont="1" applyFill="1" applyBorder="1" applyAlignment="1">
      <alignment horizontal="center" vertical="center"/>
    </xf>
    <xf numFmtId="0" fontId="147" fillId="31" borderId="158" xfId="0" applyFont="1" applyFill="1" applyBorder="1" applyAlignment="1">
      <alignment horizontal="center" vertical="center"/>
    </xf>
    <xf numFmtId="0" fontId="9" fillId="9" borderId="0" xfId="0" applyFont="1" applyFill="1" applyBorder="1" applyAlignment="1">
      <alignment vertical="top" wrapText="1"/>
    </xf>
    <xf numFmtId="0" fontId="139" fillId="9" borderId="172" xfId="0" applyFont="1" applyFill="1" applyBorder="1" applyAlignment="1">
      <alignment horizontal="left" vertical="center"/>
    </xf>
    <xf numFmtId="0" fontId="89" fillId="9" borderId="0" xfId="0" applyFont="1" applyFill="1" applyBorder="1" applyAlignment="1">
      <alignment vertical="center"/>
    </xf>
    <xf numFmtId="0" fontId="119" fillId="9" borderId="172" xfId="0" applyFont="1" applyFill="1" applyBorder="1" applyAlignment="1">
      <alignment vertical="top" wrapText="1"/>
    </xf>
    <xf numFmtId="0" fontId="146" fillId="29" borderId="168" xfId="0" applyFont="1" applyFill="1" applyBorder="1" applyAlignment="1">
      <alignment horizontal="center" vertical="center"/>
    </xf>
    <xf numFmtId="0" fontId="146" fillId="29" borderId="170" xfId="0" applyFont="1" applyFill="1" applyBorder="1" applyAlignment="1">
      <alignment horizontal="center" vertical="center"/>
    </xf>
    <xf numFmtId="0" fontId="147" fillId="24" borderId="159" xfId="0" applyFont="1" applyFill="1" applyBorder="1" applyAlignment="1">
      <alignment horizontal="center" vertical="center"/>
    </xf>
    <xf numFmtId="0" fontId="147" fillId="24" borderId="158" xfId="0" applyFont="1" applyFill="1" applyBorder="1" applyAlignment="1">
      <alignment horizontal="center" vertical="center"/>
    </xf>
    <xf numFmtId="0" fontId="147" fillId="10" borderId="159" xfId="0" applyFont="1" applyFill="1" applyBorder="1" applyAlignment="1">
      <alignment horizontal="center" vertical="center"/>
    </xf>
    <xf numFmtId="0" fontId="147" fillId="10" borderId="158" xfId="0" applyFont="1" applyFill="1" applyBorder="1" applyAlignment="1">
      <alignment horizontal="center" vertical="center"/>
    </xf>
    <xf numFmtId="0" fontId="9" fillId="10" borderId="0" xfId="0" applyFont="1" applyFill="1" applyBorder="1"/>
    <xf numFmtId="0" fontId="147" fillId="32" borderId="159" xfId="0" applyFont="1" applyFill="1" applyBorder="1" applyAlignment="1">
      <alignment horizontal="center" vertical="center"/>
    </xf>
    <xf numFmtId="0" fontId="147" fillId="32" borderId="158" xfId="0" applyFont="1" applyFill="1" applyBorder="1" applyAlignment="1">
      <alignment horizontal="center" vertical="center"/>
    </xf>
    <xf numFmtId="0" fontId="147" fillId="32" borderId="171" xfId="0" applyFont="1" applyFill="1" applyBorder="1" applyAlignment="1">
      <alignment horizontal="center" vertical="center"/>
    </xf>
    <xf numFmtId="0" fontId="9" fillId="32" borderId="172" xfId="0" applyFont="1" applyFill="1" applyBorder="1"/>
    <xf numFmtId="0" fontId="147" fillId="32" borderId="173" xfId="0" applyFont="1" applyFill="1" applyBorder="1" applyAlignment="1">
      <alignment horizontal="center" vertical="center"/>
    </xf>
    <xf numFmtId="0" fontId="146" fillId="28" borderId="168" xfId="0" applyFont="1" applyFill="1" applyBorder="1" applyAlignment="1">
      <alignment horizontal="center" vertical="center"/>
    </xf>
    <xf numFmtId="0" fontId="146" fillId="28" borderId="174" xfId="0" applyFont="1" applyFill="1" applyBorder="1" applyAlignment="1">
      <alignment horizontal="center" vertical="center"/>
    </xf>
    <xf numFmtId="0" fontId="146" fillId="28" borderId="170" xfId="0" applyFont="1" applyFill="1" applyBorder="1" applyAlignment="1">
      <alignment horizontal="center" vertical="center"/>
    </xf>
    <xf numFmtId="0" fontId="147" fillId="19" borderId="159" xfId="0" applyFont="1" applyFill="1" applyBorder="1" applyAlignment="1">
      <alignment horizontal="center" vertical="center"/>
    </xf>
    <xf numFmtId="0" fontId="147" fillId="19" borderId="158" xfId="0" applyFont="1" applyFill="1" applyBorder="1" applyAlignment="1">
      <alignment horizontal="center" vertical="center"/>
    </xf>
    <xf numFmtId="0" fontId="147" fillId="19" borderId="171" xfId="0" applyFont="1" applyFill="1" applyBorder="1" applyAlignment="1">
      <alignment horizontal="center" vertical="center"/>
    </xf>
    <xf numFmtId="0" fontId="9" fillId="19" borderId="172" xfId="0" applyFont="1" applyFill="1" applyBorder="1"/>
    <xf numFmtId="0" fontId="147" fillId="19" borderId="173" xfId="0" applyFont="1" applyFill="1" applyBorder="1" applyAlignment="1">
      <alignment horizontal="center" vertical="center"/>
    </xf>
    <xf numFmtId="0" fontId="146" fillId="2" borderId="168" xfId="0" applyFont="1" applyFill="1" applyBorder="1" applyAlignment="1">
      <alignment horizontal="center" vertical="center"/>
    </xf>
    <xf numFmtId="0" fontId="146" fillId="2" borderId="174" xfId="0" applyFont="1" applyFill="1" applyBorder="1" applyAlignment="1">
      <alignment horizontal="center" vertical="center"/>
    </xf>
    <xf numFmtId="0" fontId="146" fillId="2" borderId="170" xfId="0" applyFont="1" applyFill="1" applyBorder="1" applyAlignment="1">
      <alignment horizontal="center" vertical="center"/>
    </xf>
    <xf numFmtId="0" fontId="147" fillId="10" borderId="171" xfId="0" applyFont="1" applyFill="1" applyBorder="1" applyAlignment="1">
      <alignment horizontal="center" vertical="center"/>
    </xf>
    <xf numFmtId="0" fontId="9" fillId="10" borderId="172" xfId="0" applyFont="1" applyFill="1" applyBorder="1"/>
    <xf numFmtId="0" fontId="147" fillId="10" borderId="173" xfId="0" applyFont="1" applyFill="1" applyBorder="1" applyAlignment="1">
      <alignment horizontal="center" vertical="center"/>
    </xf>
    <xf numFmtId="0" fontId="146" fillId="2" borderId="169" xfId="0" applyFont="1" applyFill="1" applyBorder="1" applyAlignment="1">
      <alignment horizontal="center" vertical="center"/>
    </xf>
    <xf numFmtId="0" fontId="146" fillId="2" borderId="159" xfId="0" applyFont="1" applyFill="1" applyBorder="1" applyAlignment="1">
      <alignment horizontal="center" vertical="center"/>
    </xf>
    <xf numFmtId="0" fontId="96" fillId="19" borderId="0" xfId="0" applyFont="1" applyFill="1" applyBorder="1" applyAlignment="1">
      <alignment horizontal="center"/>
    </xf>
    <xf numFmtId="0" fontId="15" fillId="19" borderId="0" xfId="0" applyFont="1" applyFill="1" applyBorder="1"/>
    <xf numFmtId="0" fontId="7" fillId="19" borderId="0" xfId="0" applyFont="1" applyFill="1" applyBorder="1"/>
    <xf numFmtId="0" fontId="35" fillId="19" borderId="0" xfId="0" applyFont="1" applyFill="1" applyBorder="1" applyAlignment="1">
      <alignment vertical="top" wrapText="1"/>
    </xf>
    <xf numFmtId="0" fontId="91" fillId="19" borderId="0" xfId="0" applyFont="1" applyFill="1" applyBorder="1"/>
    <xf numFmtId="0" fontId="146" fillId="33" borderId="168" xfId="0" applyFont="1" applyFill="1" applyBorder="1" applyAlignment="1">
      <alignment horizontal="center" vertical="center"/>
    </xf>
    <xf numFmtId="0" fontId="146" fillId="33" borderId="174" xfId="0" applyFont="1" applyFill="1" applyBorder="1" applyAlignment="1">
      <alignment horizontal="center" vertical="center"/>
    </xf>
    <xf numFmtId="0" fontId="146" fillId="33" borderId="170" xfId="0" applyFont="1" applyFill="1" applyBorder="1" applyAlignment="1">
      <alignment horizontal="center" vertical="center"/>
    </xf>
    <xf numFmtId="0" fontId="147" fillId="26" borderId="159" xfId="0" applyFont="1" applyFill="1" applyBorder="1" applyAlignment="1">
      <alignment horizontal="center" vertical="center"/>
    </xf>
    <xf numFmtId="0" fontId="147" fillId="26" borderId="158" xfId="0" applyFont="1" applyFill="1" applyBorder="1" applyAlignment="1">
      <alignment horizontal="center" vertical="center"/>
    </xf>
    <xf numFmtId="0" fontId="147" fillId="26" borderId="171" xfId="0" applyFont="1" applyFill="1" applyBorder="1" applyAlignment="1">
      <alignment horizontal="center" vertical="center"/>
    </xf>
    <xf numFmtId="0" fontId="9" fillId="26" borderId="172" xfId="0" applyFont="1" applyFill="1" applyBorder="1"/>
    <xf numFmtId="0" fontId="147" fillId="26" borderId="173" xfId="0" applyFont="1" applyFill="1" applyBorder="1" applyAlignment="1">
      <alignment horizontal="center" vertical="center"/>
    </xf>
    <xf numFmtId="0" fontId="117" fillId="26" borderId="172" xfId="0" applyFont="1" applyFill="1" applyBorder="1" applyAlignment="1">
      <alignment horizontal="left" vertical="top" wrapText="1"/>
    </xf>
    <xf numFmtId="0" fontId="119" fillId="19" borderId="0" xfId="0" applyFont="1" applyFill="1" applyBorder="1" applyAlignment="1">
      <alignment vertical="top" wrapText="1"/>
    </xf>
    <xf numFmtId="0" fontId="9" fillId="5" borderId="0" xfId="0" applyFont="1" applyFill="1" applyBorder="1"/>
    <xf numFmtId="0" fontId="148" fillId="32" borderId="159" xfId="0" applyFont="1" applyFill="1" applyBorder="1" applyAlignment="1">
      <alignment horizontal="center" vertical="center" wrapText="1"/>
    </xf>
    <xf numFmtId="0" fontId="72" fillId="41" borderId="0" xfId="0" applyFont="1" applyFill="1" applyBorder="1" applyAlignment="1">
      <alignment vertical="center" wrapText="1"/>
    </xf>
    <xf numFmtId="0" fontId="148" fillId="32" borderId="158" xfId="0" applyFont="1" applyFill="1" applyBorder="1" applyAlignment="1">
      <alignment horizontal="center" vertical="center" wrapText="1"/>
    </xf>
    <xf numFmtId="0" fontId="72" fillId="32" borderId="0" xfId="0" applyFont="1" applyFill="1" applyBorder="1" applyAlignment="1">
      <alignment vertical="center" wrapText="1"/>
    </xf>
    <xf numFmtId="0" fontId="35" fillId="26" borderId="0" xfId="0" applyFont="1" applyFill="1" applyBorder="1" applyAlignment="1">
      <alignment vertical="top" wrapText="1"/>
    </xf>
    <xf numFmtId="0" fontId="91" fillId="26" borderId="0" xfId="0" applyFont="1" applyFill="1" applyBorder="1"/>
    <xf numFmtId="0" fontId="88" fillId="26" borderId="0" xfId="0" applyFont="1" applyFill="1" applyBorder="1" applyAlignment="1">
      <alignment vertical="center" wrapText="1"/>
    </xf>
    <xf numFmtId="0" fontId="147" fillId="37" borderId="159" xfId="0" applyFont="1" applyFill="1" applyBorder="1" applyAlignment="1">
      <alignment horizontal="center" vertical="center"/>
    </xf>
    <xf numFmtId="0" fontId="147" fillId="37" borderId="158" xfId="0" applyFont="1" applyFill="1" applyBorder="1" applyAlignment="1">
      <alignment horizontal="center" vertical="center"/>
    </xf>
    <xf numFmtId="0" fontId="147" fillId="37" borderId="171" xfId="0" applyFont="1" applyFill="1" applyBorder="1" applyAlignment="1">
      <alignment horizontal="center" vertical="center"/>
    </xf>
    <xf numFmtId="0" fontId="9" fillId="37" borderId="172" xfId="0" applyFont="1" applyFill="1" applyBorder="1"/>
    <xf numFmtId="0" fontId="147" fillId="37" borderId="173" xfId="0" applyFont="1" applyFill="1" applyBorder="1" applyAlignment="1">
      <alignment horizontal="center" vertical="center"/>
    </xf>
    <xf numFmtId="0" fontId="147" fillId="11" borderId="159" xfId="0" applyFont="1" applyFill="1" applyBorder="1" applyAlignment="1">
      <alignment horizontal="center" vertical="center"/>
    </xf>
    <xf numFmtId="0" fontId="147" fillId="11" borderId="158" xfId="0" applyFont="1" applyFill="1" applyBorder="1" applyAlignment="1">
      <alignment horizontal="center" vertical="center"/>
    </xf>
    <xf numFmtId="0" fontId="147" fillId="11" borderId="171" xfId="0" applyFont="1" applyFill="1" applyBorder="1" applyAlignment="1">
      <alignment horizontal="center" vertical="center"/>
    </xf>
    <xf numFmtId="0" fontId="9" fillId="11" borderId="172" xfId="0" applyFont="1" applyFill="1" applyBorder="1"/>
    <xf numFmtId="0" fontId="147" fillId="11" borderId="173" xfId="0" applyFont="1" applyFill="1" applyBorder="1" applyAlignment="1">
      <alignment horizontal="center" vertical="center"/>
    </xf>
    <xf numFmtId="0" fontId="9" fillId="11" borderId="159" xfId="0" applyFont="1" applyFill="1" applyBorder="1"/>
    <xf numFmtId="0" fontId="9" fillId="11" borderId="171" xfId="0" applyFont="1" applyFill="1" applyBorder="1"/>
    <xf numFmtId="0" fontId="146" fillId="36" borderId="168" xfId="0" applyFont="1" applyFill="1" applyBorder="1" applyAlignment="1">
      <alignment horizontal="center" vertical="center"/>
    </xf>
    <xf numFmtId="0" fontId="146" fillId="36" borderId="174" xfId="0" applyFont="1" applyFill="1" applyBorder="1" applyAlignment="1">
      <alignment horizontal="center" vertical="center"/>
    </xf>
    <xf numFmtId="0" fontId="146" fillId="36" borderId="170" xfId="0" applyFont="1" applyFill="1" applyBorder="1" applyAlignment="1">
      <alignment horizontal="center" vertical="center"/>
    </xf>
    <xf numFmtId="0" fontId="147" fillId="36" borderId="159" xfId="0" applyFont="1" applyFill="1" applyBorder="1" applyAlignment="1">
      <alignment horizontal="center" vertical="center"/>
    </xf>
    <xf numFmtId="0" fontId="9" fillId="36" borderId="0" xfId="0" applyFont="1" applyFill="1" applyBorder="1"/>
    <xf numFmtId="0" fontId="147" fillId="36" borderId="158" xfId="0" applyFont="1" applyFill="1" applyBorder="1" applyAlignment="1">
      <alignment horizontal="center" vertical="center"/>
    </xf>
    <xf numFmtId="0" fontId="147" fillId="36" borderId="171" xfId="0" applyFont="1" applyFill="1" applyBorder="1" applyAlignment="1">
      <alignment horizontal="center" vertical="center"/>
    </xf>
    <xf numFmtId="0" fontId="9" fillId="36" borderId="172" xfId="0" applyFont="1" applyFill="1" applyBorder="1"/>
    <xf numFmtId="0" fontId="147" fillId="36" borderId="173" xfId="0" applyFont="1" applyFill="1" applyBorder="1" applyAlignment="1">
      <alignment horizontal="center" vertical="center"/>
    </xf>
    <xf numFmtId="0" fontId="146" fillId="36" borderId="169" xfId="0" applyFont="1" applyFill="1" applyBorder="1" applyAlignment="1">
      <alignment horizontal="center" vertical="center"/>
    </xf>
    <xf numFmtId="0" fontId="102" fillId="7" borderId="0" xfId="0" applyFont="1" applyFill="1" applyBorder="1"/>
    <xf numFmtId="0" fontId="147" fillId="7" borderId="159" xfId="0" applyFont="1" applyFill="1" applyBorder="1" applyAlignment="1">
      <alignment horizontal="center" vertical="center"/>
    </xf>
    <xf numFmtId="0" fontId="40" fillId="4" borderId="0" xfId="0" applyFont="1" applyFill="1"/>
    <xf numFmtId="0" fontId="177" fillId="37" borderId="0" xfId="0" applyFont="1" applyFill="1" applyBorder="1"/>
    <xf numFmtId="0" fontId="177" fillId="37" borderId="172" xfId="0" applyFont="1" applyFill="1" applyBorder="1"/>
    <xf numFmtId="0" fontId="187" fillId="41" borderId="0" xfId="0" applyFont="1" applyFill="1" applyBorder="1" applyAlignment="1">
      <alignment vertical="center" wrapText="1"/>
    </xf>
    <xf numFmtId="0" fontId="187" fillId="32" borderId="0" xfId="0" applyFont="1" applyFill="1" applyBorder="1" applyAlignment="1">
      <alignment vertical="center" wrapText="1"/>
    </xf>
    <xf numFmtId="0" fontId="177" fillId="26" borderId="0" xfId="0" applyFont="1" applyFill="1" applyBorder="1"/>
    <xf numFmtId="0" fontId="188" fillId="26" borderId="0" xfId="0" applyFont="1" applyFill="1" applyBorder="1" applyAlignment="1">
      <alignment vertical="top" wrapText="1"/>
    </xf>
    <xf numFmtId="0" fontId="188" fillId="26" borderId="0" xfId="0" applyFont="1" applyFill="1" applyBorder="1" applyAlignment="1">
      <alignment vertical="center" wrapText="1"/>
    </xf>
    <xf numFmtId="0" fontId="177" fillId="26" borderId="172" xfId="0" applyFont="1" applyFill="1" applyBorder="1"/>
    <xf numFmtId="0" fontId="177" fillId="19" borderId="0" xfId="0" applyFont="1" applyFill="1" applyBorder="1"/>
    <xf numFmtId="0" fontId="177" fillId="19" borderId="172" xfId="0" applyFont="1" applyFill="1" applyBorder="1"/>
    <xf numFmtId="0" fontId="177" fillId="22" borderId="0" xfId="0" applyFont="1" applyFill="1" applyBorder="1"/>
    <xf numFmtId="0" fontId="177" fillId="3" borderId="0" xfId="0" applyFont="1" applyFill="1" applyBorder="1"/>
    <xf numFmtId="0" fontId="177" fillId="5" borderId="0" xfId="0" applyFont="1" applyFill="1" applyBorder="1"/>
    <xf numFmtId="0" fontId="189" fillId="19" borderId="0" xfId="0" applyFont="1" applyFill="1" applyBorder="1" applyAlignment="1">
      <alignment vertical="top" wrapText="1"/>
    </xf>
    <xf numFmtId="0" fontId="190" fillId="26" borderId="172" xfId="0" applyFont="1" applyFill="1" applyBorder="1" applyAlignment="1">
      <alignment horizontal="left" vertical="top" wrapText="1"/>
    </xf>
    <xf numFmtId="0" fontId="177" fillId="11" borderId="0" xfId="0" applyFont="1" applyFill="1" applyBorder="1"/>
    <xf numFmtId="0" fontId="177" fillId="11" borderId="172" xfId="0" applyFont="1" applyFill="1" applyBorder="1"/>
    <xf numFmtId="0" fontId="177" fillId="36" borderId="0" xfId="0" applyFont="1" applyFill="1" applyBorder="1"/>
    <xf numFmtId="0" fontId="177" fillId="36" borderId="172" xfId="0" applyFont="1" applyFill="1" applyBorder="1"/>
    <xf numFmtId="0" fontId="188" fillId="19" borderId="0" xfId="0" applyFont="1" applyFill="1" applyBorder="1" applyAlignment="1">
      <alignment vertical="top" wrapText="1"/>
    </xf>
    <xf numFmtId="0" fontId="191" fillId="19" borderId="0" xfId="0" applyFont="1" applyFill="1" applyBorder="1" applyAlignment="1">
      <alignment horizontal="center"/>
    </xf>
    <xf numFmtId="0" fontId="177" fillId="32" borderId="0" xfId="0" applyFont="1" applyFill="1" applyBorder="1"/>
    <xf numFmtId="0" fontId="177" fillId="10" borderId="0" xfId="0" applyFont="1" applyFill="1" applyBorder="1"/>
    <xf numFmtId="0" fontId="177" fillId="10" borderId="172" xfId="0" applyFont="1" applyFill="1" applyBorder="1"/>
    <xf numFmtId="0" fontId="177" fillId="32" borderId="172" xfId="0" applyFont="1" applyFill="1" applyBorder="1"/>
    <xf numFmtId="0" fontId="56" fillId="30" borderId="0" xfId="0" applyFont="1" applyFill="1" applyBorder="1"/>
    <xf numFmtId="0" fontId="177" fillId="9" borderId="0" xfId="0" applyFont="1" applyFill="1" applyBorder="1"/>
    <xf numFmtId="0" fontId="192" fillId="37" borderId="0" xfId="0" applyFont="1" applyFill="1" applyBorder="1"/>
    <xf numFmtId="0" fontId="177" fillId="9" borderId="172" xfId="0" applyFont="1" applyFill="1" applyBorder="1"/>
    <xf numFmtId="0" fontId="193" fillId="9" borderId="0" xfId="0" applyFont="1" applyFill="1" applyBorder="1" applyAlignment="1">
      <alignment horizontal="left" vertical="center" indent="2"/>
    </xf>
    <xf numFmtId="0" fontId="194" fillId="8" borderId="0" xfId="0" applyFont="1" applyFill="1" applyBorder="1"/>
    <xf numFmtId="0" fontId="177" fillId="9" borderId="0" xfId="0" applyFont="1" applyFill="1" applyBorder="1" applyAlignment="1">
      <alignment horizontal="center" vertical="center" wrapText="1"/>
    </xf>
    <xf numFmtId="0" fontId="177" fillId="35" borderId="127" xfId="0" applyFont="1" applyFill="1" applyBorder="1" applyAlignment="1">
      <alignment vertical="center" wrapText="1"/>
    </xf>
    <xf numFmtId="0" fontId="177" fillId="35" borderId="60" xfId="0" applyFont="1" applyFill="1" applyBorder="1" applyAlignment="1">
      <alignment vertical="center" wrapText="1"/>
    </xf>
    <xf numFmtId="0" fontId="189" fillId="9" borderId="0" xfId="0" applyFont="1" applyFill="1" applyBorder="1" applyAlignment="1">
      <alignment wrapText="1"/>
    </xf>
    <xf numFmtId="0" fontId="189" fillId="9" borderId="172" xfId="0" applyFont="1" applyFill="1" applyBorder="1" applyAlignment="1">
      <alignment vertical="top" wrapText="1"/>
    </xf>
    <xf numFmtId="0" fontId="18" fillId="16" borderId="75" xfId="0" applyFont="1" applyFill="1" applyBorder="1"/>
    <xf numFmtId="0" fontId="177" fillId="16" borderId="80" xfId="0" applyFont="1" applyFill="1" applyBorder="1"/>
    <xf numFmtId="0" fontId="177" fillId="16" borderId="81" xfId="0" applyFont="1" applyFill="1" applyBorder="1"/>
    <xf numFmtId="0" fontId="18" fillId="16" borderId="83" xfId="0" applyFont="1" applyFill="1" applyBorder="1"/>
    <xf numFmtId="0" fontId="177" fillId="16" borderId="85" xfId="0" applyFont="1" applyFill="1" applyBorder="1"/>
    <xf numFmtId="0" fontId="189" fillId="9" borderId="172" xfId="0" applyFont="1" applyFill="1" applyBorder="1" applyAlignment="1">
      <alignment horizontal="left" vertical="center"/>
    </xf>
    <xf numFmtId="165" fontId="188" fillId="9" borderId="0" xfId="0" applyNumberFormat="1" applyFont="1" applyFill="1" applyBorder="1" applyAlignment="1">
      <alignment horizontal="left" indent="2"/>
    </xf>
    <xf numFmtId="165" fontId="197" fillId="9" borderId="0" xfId="0" applyNumberFormat="1" applyFont="1" applyFill="1" applyBorder="1"/>
    <xf numFmtId="0" fontId="197" fillId="9" borderId="0" xfId="0" applyFont="1" applyFill="1" applyBorder="1"/>
    <xf numFmtId="0" fontId="177" fillId="31" borderId="0" xfId="0" applyFont="1" applyFill="1" applyBorder="1"/>
    <xf numFmtId="0" fontId="198" fillId="31" borderId="0" xfId="0" applyFont="1" applyFill="1" applyBorder="1"/>
    <xf numFmtId="0" fontId="189" fillId="9" borderId="172" xfId="0" applyFont="1" applyFill="1" applyBorder="1" applyAlignment="1">
      <alignment horizontal="left" vertical="center" wrapText="1"/>
    </xf>
    <xf numFmtId="0" fontId="189" fillId="39" borderId="169" xfId="0" applyFont="1" applyFill="1" applyBorder="1" applyAlignment="1">
      <alignment horizontal="left" vertical="center" wrapText="1"/>
    </xf>
    <xf numFmtId="0" fontId="189" fillId="38" borderId="0" xfId="0" applyFont="1" applyFill="1" applyBorder="1" applyAlignment="1">
      <alignment horizontal="left" vertical="center" wrapText="1"/>
    </xf>
    <xf numFmtId="0" fontId="189" fillId="38" borderId="0" xfId="0" applyFont="1" applyFill="1" applyBorder="1" applyAlignment="1">
      <alignment horizontal="left" vertical="top" wrapText="1"/>
    </xf>
    <xf numFmtId="0" fontId="200" fillId="38" borderId="0" xfId="0" applyFont="1" applyFill="1" applyBorder="1" applyAlignment="1">
      <alignment vertical="center"/>
    </xf>
    <xf numFmtId="0" fontId="157" fillId="38" borderId="0" xfId="0" applyFont="1" applyFill="1" applyBorder="1" applyAlignment="1">
      <alignment horizontal="left" vertical="top" wrapText="1"/>
    </xf>
    <xf numFmtId="0" fontId="105" fillId="9" borderId="0" xfId="0" applyFont="1" applyFill="1" applyBorder="1"/>
    <xf numFmtId="0" fontId="13" fillId="44" borderId="168" xfId="0" applyFont="1" applyFill="1" applyBorder="1" applyAlignment="1">
      <alignment horizontal="left" indent="1"/>
    </xf>
    <xf numFmtId="0" fontId="13" fillId="44" borderId="169" xfId="0" applyFont="1" applyFill="1" applyBorder="1"/>
    <xf numFmtId="0" fontId="13" fillId="44" borderId="170" xfId="0" applyFont="1" applyFill="1" applyBorder="1"/>
    <xf numFmtId="0" fontId="215" fillId="44" borderId="169" xfId="0" applyFont="1" applyFill="1" applyBorder="1" applyAlignment="1">
      <alignment vertical="center"/>
    </xf>
    <xf numFmtId="0" fontId="9" fillId="42" borderId="163" xfId="0" applyFont="1" applyFill="1" applyBorder="1"/>
    <xf numFmtId="0" fontId="9" fillId="42" borderId="0" xfId="0" applyFont="1" applyFill="1" applyBorder="1"/>
    <xf numFmtId="0" fontId="218" fillId="42" borderId="0" xfId="0" applyFont="1" applyFill="1" applyAlignment="1">
      <alignment vertical="center"/>
    </xf>
    <xf numFmtId="0" fontId="218" fillId="42" borderId="0" xfId="0" applyFont="1" applyFill="1" applyAlignment="1">
      <alignment horizontal="left" vertical="center" indent="2"/>
    </xf>
    <xf numFmtId="0" fontId="220" fillId="9" borderId="0" xfId="0" applyFont="1" applyFill="1" applyBorder="1"/>
    <xf numFmtId="0" fontId="221" fillId="12" borderId="169" xfId="0" applyFont="1" applyFill="1" applyBorder="1" applyAlignment="1">
      <alignment vertical="center"/>
    </xf>
    <xf numFmtId="0" fontId="9" fillId="44" borderId="159" xfId="0" applyFont="1" applyFill="1" applyBorder="1"/>
    <xf numFmtId="0" fontId="105" fillId="44" borderId="0" xfId="0" applyFont="1" applyFill="1" applyBorder="1" applyAlignment="1">
      <alignment horizontal="left" vertical="center" wrapText="1"/>
    </xf>
    <xf numFmtId="0" fontId="9" fillId="44" borderId="158" xfId="0" applyFont="1" applyFill="1" applyBorder="1"/>
    <xf numFmtId="165" fontId="105" fillId="38" borderId="0" xfId="0" applyNumberFormat="1" applyFont="1" applyFill="1" applyBorder="1" applyAlignment="1">
      <alignment horizontal="left" vertical="top" indent="1"/>
    </xf>
    <xf numFmtId="165" fontId="224" fillId="38" borderId="0" xfId="0" applyNumberFormat="1" applyFont="1" applyFill="1" applyBorder="1" applyAlignment="1">
      <alignment horizontal="left" vertical="top" indent="2"/>
    </xf>
    <xf numFmtId="165" fontId="105" fillId="38" borderId="0" xfId="0" applyNumberFormat="1" applyFont="1" applyFill="1" applyBorder="1" applyAlignment="1">
      <alignment horizontal="left" vertical="center"/>
    </xf>
    <xf numFmtId="165" fontId="178" fillId="38" borderId="0" xfId="0" applyNumberFormat="1" applyFont="1" applyFill="1" applyBorder="1" applyAlignment="1">
      <alignment horizontal="left" vertical="top" indent="1"/>
    </xf>
    <xf numFmtId="165" fontId="157" fillId="38" borderId="0" xfId="0" applyNumberFormat="1" applyFont="1" applyFill="1" applyBorder="1" applyAlignment="1">
      <alignment horizontal="left" vertical="center" indent="1"/>
    </xf>
    <xf numFmtId="0" fontId="157" fillId="38" borderId="0" xfId="0" applyFont="1" applyFill="1" applyBorder="1" applyAlignment="1">
      <alignment horizontal="left" vertical="top"/>
    </xf>
    <xf numFmtId="0" fontId="189" fillId="38" borderId="0" xfId="0" applyFont="1" applyFill="1" applyBorder="1" applyAlignment="1">
      <alignment horizontal="left" vertical="top"/>
    </xf>
    <xf numFmtId="0" fontId="13" fillId="44" borderId="169" xfId="0" applyFont="1" applyFill="1" applyBorder="1" applyAlignment="1">
      <alignment horizontal="left" indent="1"/>
    </xf>
    <xf numFmtId="0" fontId="21" fillId="42" borderId="161" xfId="0" applyFont="1" applyFill="1" applyBorder="1" applyAlignment="1">
      <alignment vertical="center"/>
    </xf>
    <xf numFmtId="0" fontId="233" fillId="9" borderId="0" xfId="0" applyFont="1" applyFill="1" applyBorder="1" applyAlignment="1">
      <alignment horizontal="left" vertical="top" wrapText="1"/>
    </xf>
    <xf numFmtId="0" fontId="233" fillId="9" borderId="0" xfId="0" applyFont="1" applyFill="1" applyBorder="1" applyAlignment="1">
      <alignment vertical="top" wrapText="1"/>
    </xf>
    <xf numFmtId="0" fontId="233" fillId="9" borderId="0" xfId="0" applyFont="1" applyFill="1" applyBorder="1"/>
    <xf numFmtId="0" fontId="233" fillId="9" borderId="0" xfId="0" applyFont="1" applyFill="1" applyBorder="1" applyAlignment="1">
      <alignment vertical="center"/>
    </xf>
    <xf numFmtId="0" fontId="237" fillId="9" borderId="0" xfId="0" applyFont="1" applyFill="1" applyBorder="1"/>
    <xf numFmtId="0" fontId="234" fillId="9" borderId="0" xfId="0" applyFont="1" applyFill="1" applyBorder="1" applyAlignment="1">
      <alignment horizontal="left" vertical="top" wrapText="1"/>
    </xf>
    <xf numFmtId="0" fontId="180" fillId="42" borderId="161" xfId="0" applyFont="1" applyFill="1" applyBorder="1" applyAlignment="1">
      <alignment vertical="center"/>
    </xf>
    <xf numFmtId="0" fontId="119" fillId="9" borderId="0" xfId="0" applyFont="1" applyFill="1" applyBorder="1" applyAlignment="1">
      <alignment vertical="top"/>
    </xf>
    <xf numFmtId="0" fontId="105" fillId="9" borderId="0" xfId="0" applyFont="1" applyFill="1" applyBorder="1" applyAlignment="1">
      <alignment vertical="center" wrapText="1"/>
    </xf>
    <xf numFmtId="0" fontId="240" fillId="42" borderId="161" xfId="0" applyFont="1" applyFill="1" applyBorder="1" applyAlignment="1">
      <alignment vertical="center"/>
    </xf>
    <xf numFmtId="0" fontId="9" fillId="4" borderId="0" xfId="0" applyFont="1" applyFill="1" applyAlignment="1">
      <alignment shrinkToFit="1"/>
    </xf>
    <xf numFmtId="0" fontId="24" fillId="4" borderId="0" xfId="0" applyFont="1" applyFill="1"/>
    <xf numFmtId="0" fontId="241" fillId="4" borderId="0" xfId="0" applyFont="1" applyFill="1"/>
    <xf numFmtId="0" fontId="23" fillId="4" borderId="0" xfId="0" applyFont="1" applyFill="1"/>
    <xf numFmtId="0" fontId="242" fillId="4" borderId="0" xfId="0" applyFont="1" applyFill="1"/>
    <xf numFmtId="0" fontId="243" fillId="0" borderId="0" xfId="0" applyFont="1"/>
    <xf numFmtId="0" fontId="244" fillId="0" borderId="0" xfId="0" applyFont="1"/>
    <xf numFmtId="0" fontId="244" fillId="0" borderId="0" xfId="0" applyFont="1" applyAlignment="1">
      <alignment shrinkToFit="1"/>
    </xf>
    <xf numFmtId="0" fontId="245" fillId="0" borderId="0" xfId="0" applyFont="1" applyAlignment="1">
      <alignment shrinkToFit="1"/>
    </xf>
    <xf numFmtId="0" fontId="9" fillId="45" borderId="0" xfId="0" applyFont="1" applyFill="1"/>
    <xf numFmtId="0" fontId="9" fillId="45" borderId="0" xfId="0" quotePrefix="1" applyFont="1" applyFill="1"/>
    <xf numFmtId="0" fontId="16" fillId="4" borderId="29" xfId="0" applyFont="1" applyFill="1" applyBorder="1"/>
    <xf numFmtId="0" fontId="9" fillId="4" borderId="29" xfId="0" applyFont="1" applyFill="1" applyBorder="1"/>
    <xf numFmtId="0" fontId="40" fillId="4" borderId="29" xfId="0" applyFont="1" applyFill="1" applyBorder="1"/>
    <xf numFmtId="0" fontId="246" fillId="4" borderId="0" xfId="0" applyFont="1" applyFill="1"/>
    <xf numFmtId="0" fontId="25" fillId="4" borderId="0" xfId="0" applyFont="1" applyFill="1"/>
    <xf numFmtId="0" fontId="247" fillId="4" borderId="0" xfId="0" applyFont="1" applyFill="1"/>
    <xf numFmtId="0" fontId="9" fillId="4" borderId="0" xfId="0" applyFont="1" applyFill="1" applyAlignment="1">
      <alignment vertical="center"/>
    </xf>
    <xf numFmtId="0" fontId="14" fillId="4" borderId="0" xfId="0" applyFont="1" applyFill="1" applyAlignment="1">
      <alignment horizontal="center" vertical="center"/>
    </xf>
    <xf numFmtId="0" fontId="249" fillId="0" borderId="0" xfId="0" applyFont="1"/>
    <xf numFmtId="0" fontId="16" fillId="4" borderId="0" xfId="0" applyFont="1" applyFill="1" applyBorder="1"/>
    <xf numFmtId="0" fontId="24" fillId="4" borderId="14" xfId="0" applyFont="1" applyFill="1" applyBorder="1"/>
    <xf numFmtId="0" fontId="247" fillId="4" borderId="15" xfId="0" applyFont="1" applyFill="1" applyBorder="1"/>
    <xf numFmtId="0" fontId="24" fillId="4" borderId="15" xfId="0" applyFont="1" applyFill="1" applyBorder="1"/>
    <xf numFmtId="0" fontId="24" fillId="4" borderId="175" xfId="0" quotePrefix="1" applyFont="1" applyFill="1" applyBorder="1"/>
    <xf numFmtId="0" fontId="247" fillId="4" borderId="0" xfId="0" applyFont="1" applyFill="1" applyBorder="1"/>
    <xf numFmtId="0" fontId="24" fillId="4" borderId="0" xfId="0" quotePrefix="1" applyFont="1" applyFill="1" applyBorder="1"/>
    <xf numFmtId="0" fontId="24" fillId="4" borderId="175" xfId="0" applyFont="1" applyFill="1" applyBorder="1"/>
    <xf numFmtId="0" fontId="24" fillId="4" borderId="0" xfId="0" applyFont="1" applyFill="1" applyBorder="1"/>
    <xf numFmtId="0" fontId="24" fillId="4" borderId="18" xfId="0" applyFont="1" applyFill="1" applyBorder="1"/>
    <xf numFmtId="0" fontId="247" fillId="4" borderId="19" xfId="0" applyFont="1" applyFill="1" applyBorder="1"/>
    <xf numFmtId="0" fontId="24" fillId="4" borderId="19" xfId="0" applyFont="1" applyFill="1" applyBorder="1"/>
    <xf numFmtId="0" fontId="197" fillId="43" borderId="29" xfId="0" applyFont="1" applyFill="1" applyBorder="1"/>
    <xf numFmtId="0" fontId="9" fillId="43" borderId="0" xfId="0" applyFont="1" applyFill="1"/>
    <xf numFmtId="0" fontId="250" fillId="4" borderId="0" xfId="0" applyFont="1" applyFill="1"/>
    <xf numFmtId="0" fontId="251" fillId="4" borderId="0" xfId="0" applyFont="1" applyFill="1"/>
    <xf numFmtId="0" fontId="250" fillId="4" borderId="0" xfId="0" quotePrefix="1" applyFont="1" applyFill="1"/>
    <xf numFmtId="0" fontId="250" fillId="7" borderId="0" xfId="0" applyFont="1" applyFill="1"/>
    <xf numFmtId="0" fontId="250" fillId="7" borderId="0" xfId="0" quotePrefix="1" applyFont="1" applyFill="1"/>
    <xf numFmtId="0" fontId="251" fillId="46" borderId="0" xfId="0" applyFont="1" applyFill="1"/>
    <xf numFmtId="0" fontId="236" fillId="4" borderId="0" xfId="0" applyFont="1" applyFill="1"/>
    <xf numFmtId="0" fontId="252" fillId="43" borderId="0" xfId="0" applyFont="1" applyFill="1"/>
    <xf numFmtId="0" fontId="254" fillId="43" borderId="180" xfId="0" applyFont="1" applyFill="1" applyBorder="1"/>
    <xf numFmtId="0" fontId="255" fillId="43" borderId="180" xfId="0" applyFont="1" applyFill="1" applyBorder="1"/>
    <xf numFmtId="0" fontId="254" fillId="43" borderId="181" xfId="0" applyFont="1" applyFill="1" applyBorder="1"/>
    <xf numFmtId="0" fontId="255" fillId="43" borderId="181" xfId="0" applyFont="1" applyFill="1" applyBorder="1"/>
    <xf numFmtId="0" fontId="257" fillId="4" borderId="0" xfId="0" applyFont="1" applyFill="1" applyAlignment="1">
      <alignment horizontal="center" vertical="center" shrinkToFit="1"/>
    </xf>
    <xf numFmtId="0" fontId="258" fillId="4" borderId="0" xfId="0" applyFont="1" applyFill="1" applyAlignment="1">
      <alignment horizontal="center" vertical="center" shrinkToFit="1"/>
    </xf>
    <xf numFmtId="0" fontId="257" fillId="4" borderId="0" xfId="0" quotePrefix="1" applyFont="1" applyFill="1" applyAlignment="1">
      <alignment horizontal="center" vertical="center" shrinkToFit="1"/>
    </xf>
    <xf numFmtId="0" fontId="256" fillId="4" borderId="0" xfId="0" applyFont="1" applyFill="1" applyAlignment="1">
      <alignment horizontal="left" indent="1"/>
    </xf>
    <xf numFmtId="0" fontId="248" fillId="47" borderId="176" xfId="0" applyFont="1" applyFill="1" applyBorder="1"/>
    <xf numFmtId="0" fontId="253" fillId="47" borderId="178" xfId="0" applyFont="1" applyFill="1" applyBorder="1"/>
    <xf numFmtId="0" fontId="248" fillId="47" borderId="177" xfId="0" applyFont="1" applyFill="1" applyBorder="1"/>
    <xf numFmtId="0" fontId="253" fillId="47" borderId="179" xfId="0" applyFont="1" applyFill="1" applyBorder="1"/>
    <xf numFmtId="0" fontId="260" fillId="19" borderId="0" xfId="0" applyFont="1" applyFill="1" applyBorder="1" applyAlignment="1">
      <alignment horizontal="center" vertical="center"/>
    </xf>
    <xf numFmtId="0" fontId="259" fillId="19" borderId="0" xfId="0" applyFont="1" applyFill="1" applyAlignment="1">
      <alignment horizontal="center" vertical="center"/>
    </xf>
    <xf numFmtId="0" fontId="23" fillId="4" borderId="0" xfId="0" applyFont="1" applyFill="1" applyAlignment="1">
      <alignment horizontal="center" shrinkToFit="1"/>
    </xf>
    <xf numFmtId="0" fontId="25" fillId="4" borderId="0" xfId="0" applyFont="1" applyFill="1" applyAlignment="1">
      <alignment horizontal="center" shrinkToFit="1"/>
    </xf>
    <xf numFmtId="0" fontId="234" fillId="9" borderId="0" xfId="0" applyFont="1" applyFill="1" applyBorder="1" applyAlignment="1">
      <alignment horizontal="right" vertical="top" wrapText="1"/>
    </xf>
    <xf numFmtId="0" fontId="16" fillId="19" borderId="0" xfId="0" applyFont="1" applyFill="1"/>
    <xf numFmtId="0" fontId="95" fillId="4" borderId="0" xfId="0" applyFont="1" applyFill="1" applyAlignment="1">
      <alignment horizontal="right" vertical="center"/>
    </xf>
    <xf numFmtId="0" fontId="268" fillId="4" borderId="0" xfId="0" applyFont="1" applyFill="1"/>
    <xf numFmtId="0" fontId="268" fillId="4" borderId="0" xfId="0" applyFont="1" applyFill="1" applyAlignment="1">
      <alignment horizontal="right" vertical="center"/>
    </xf>
    <xf numFmtId="0" fontId="95" fillId="45" borderId="0" xfId="0" applyFont="1" applyFill="1"/>
    <xf numFmtId="0" fontId="268" fillId="45" borderId="0" xfId="0" applyFont="1" applyFill="1"/>
    <xf numFmtId="0" fontId="9" fillId="45" borderId="0" xfId="0" applyFont="1" applyFill="1" applyAlignment="1">
      <alignment wrapText="1"/>
    </xf>
    <xf numFmtId="0" fontId="9" fillId="45" borderId="0" xfId="0" quotePrefix="1" applyFont="1" applyFill="1" applyAlignment="1">
      <alignment wrapText="1"/>
    </xf>
    <xf numFmtId="0" fontId="9" fillId="45" borderId="0" xfId="0" quotePrefix="1" applyFont="1" applyFill="1" applyAlignment="1"/>
    <xf numFmtId="0" fontId="243" fillId="9" borderId="0" xfId="0" applyFont="1" applyFill="1" applyAlignment="1">
      <alignment vertical="top" wrapText="1"/>
    </xf>
    <xf numFmtId="0" fontId="9" fillId="45" borderId="0" xfId="0" applyFont="1" applyFill="1" applyAlignment="1">
      <alignment horizontal="center" vertical="center"/>
    </xf>
    <xf numFmtId="0" fontId="233" fillId="9" borderId="0" xfId="0" quotePrefix="1" applyFont="1" applyFill="1" applyBorder="1" applyAlignment="1">
      <alignment vertical="center"/>
    </xf>
    <xf numFmtId="0" fontId="235" fillId="9" borderId="0" xfId="0" applyFont="1" applyFill="1" applyBorder="1" applyAlignment="1">
      <alignment horizontal="left" indent="1"/>
    </xf>
    <xf numFmtId="0" fontId="9" fillId="7" borderId="0" xfId="0" applyFont="1" applyFill="1" applyAlignment="1">
      <alignment horizontal="left" vertical="center"/>
    </xf>
    <xf numFmtId="0" fontId="9" fillId="31" borderId="0" xfId="0" applyFont="1" applyFill="1" applyAlignment="1">
      <alignment horizontal="left" vertical="center"/>
    </xf>
    <xf numFmtId="0" fontId="16" fillId="7" borderId="0" xfId="0" applyFont="1" applyFill="1" applyAlignment="1">
      <alignment horizontal="left" vertical="center" indent="1"/>
    </xf>
    <xf numFmtId="0" fontId="16" fillId="31" borderId="0" xfId="0" applyFont="1" applyFill="1" applyAlignment="1">
      <alignment horizontal="left" vertical="center" indent="1"/>
    </xf>
    <xf numFmtId="0" fontId="9" fillId="9" borderId="0" xfId="0" applyFont="1" applyFill="1"/>
    <xf numFmtId="0" fontId="16" fillId="9" borderId="0" xfId="0" applyFont="1" applyFill="1" applyAlignment="1">
      <alignment horizontal="left" indent="1"/>
    </xf>
    <xf numFmtId="0" fontId="9" fillId="27" borderId="0" xfId="0" applyFont="1" applyFill="1"/>
    <xf numFmtId="0" fontId="9" fillId="48" borderId="0" xfId="0" applyFont="1" applyFill="1"/>
    <xf numFmtId="0" fontId="234" fillId="9" borderId="0" xfId="0" applyFont="1" applyFill="1" applyBorder="1" applyAlignment="1">
      <alignment horizontal="left" vertical="top" indent="1"/>
    </xf>
    <xf numFmtId="0" fontId="201" fillId="9" borderId="0" xfId="0" applyFont="1" applyFill="1" applyBorder="1"/>
    <xf numFmtId="0" fontId="13" fillId="11" borderId="168" xfId="0" applyFont="1" applyFill="1" applyBorder="1" applyAlignment="1">
      <alignment horizontal="left" indent="1"/>
    </xf>
    <xf numFmtId="0" fontId="232" fillId="11" borderId="169" xfId="0" applyFont="1" applyFill="1" applyBorder="1" applyAlignment="1">
      <alignment horizontal="left" indent="1"/>
    </xf>
    <xf numFmtId="0" fontId="13" fillId="11" borderId="169" xfId="0" applyFont="1" applyFill="1" applyBorder="1" applyAlignment="1">
      <alignment horizontal="left" indent="1"/>
    </xf>
    <xf numFmtId="0" fontId="13" fillId="11" borderId="170" xfId="0" applyFont="1" applyFill="1" applyBorder="1"/>
    <xf numFmtId="0" fontId="215" fillId="11" borderId="169" xfId="0" applyFont="1" applyFill="1" applyBorder="1" applyAlignment="1">
      <alignment vertical="center"/>
    </xf>
    <xf numFmtId="0" fontId="13" fillId="11" borderId="169" xfId="0" applyFont="1" applyFill="1" applyBorder="1"/>
    <xf numFmtId="0" fontId="105" fillId="11" borderId="0" xfId="0" applyFont="1" applyFill="1" applyBorder="1" applyAlignment="1">
      <alignment horizontal="left" vertical="center" wrapText="1"/>
    </xf>
    <xf numFmtId="0" fontId="9" fillId="11" borderId="158" xfId="0" applyFont="1" applyFill="1" applyBorder="1"/>
    <xf numFmtId="0" fontId="13" fillId="11" borderId="159" xfId="0" applyFont="1" applyFill="1" applyBorder="1" applyAlignment="1">
      <alignment horizontal="left" indent="1"/>
    </xf>
    <xf numFmtId="0" fontId="13" fillId="11" borderId="0" xfId="0" applyFont="1" applyFill="1" applyBorder="1" applyAlignment="1">
      <alignment horizontal="center"/>
    </xf>
    <xf numFmtId="0" fontId="215" fillId="11" borderId="0" xfId="0" applyFont="1" applyFill="1" applyBorder="1" applyAlignment="1">
      <alignment vertical="center"/>
    </xf>
    <xf numFmtId="0" fontId="13" fillId="11" borderId="0" xfId="0" applyFont="1" applyFill="1" applyBorder="1"/>
    <xf numFmtId="0" fontId="13" fillId="11" borderId="158" xfId="0" applyFont="1" applyFill="1" applyBorder="1"/>
    <xf numFmtId="0" fontId="9" fillId="9" borderId="185" xfId="0" applyFont="1" applyFill="1" applyBorder="1"/>
    <xf numFmtId="0" fontId="22" fillId="9" borderId="0" xfId="0" applyFont="1" applyFill="1" applyBorder="1"/>
    <xf numFmtId="0" fontId="24" fillId="9" borderId="0" xfId="0" applyFont="1" applyFill="1"/>
    <xf numFmtId="0" fontId="247" fillId="9" borderId="0" xfId="0" applyFont="1" applyFill="1"/>
    <xf numFmtId="0" fontId="277" fillId="9" borderId="163" xfId="0" applyFont="1" applyFill="1" applyBorder="1" applyAlignment="1">
      <alignment vertical="center"/>
    </xf>
    <xf numFmtId="0" fontId="278" fillId="9" borderId="0" xfId="0" applyFont="1" applyFill="1" applyBorder="1" applyAlignment="1">
      <alignment vertical="center"/>
    </xf>
    <xf numFmtId="0" fontId="277" fillId="9" borderId="0" xfId="0" applyFont="1" applyFill="1" applyBorder="1" applyAlignment="1">
      <alignment vertical="center"/>
    </xf>
    <xf numFmtId="0" fontId="277" fillId="9" borderId="164" xfId="0" applyFont="1" applyFill="1" applyBorder="1" applyAlignment="1">
      <alignment vertical="center"/>
    </xf>
    <xf numFmtId="0" fontId="279" fillId="9" borderId="0" xfId="0" applyFont="1" applyFill="1" applyBorder="1" applyAlignment="1">
      <alignment vertical="center" wrapText="1"/>
    </xf>
    <xf numFmtId="0" fontId="277" fillId="4" borderId="0" xfId="0" applyFont="1" applyFill="1" applyAlignment="1">
      <alignment vertical="center"/>
    </xf>
    <xf numFmtId="0" fontId="234" fillId="9" borderId="0" xfId="0" applyFont="1" applyFill="1" applyBorder="1" applyAlignment="1">
      <alignment vertical="top" wrapText="1"/>
    </xf>
    <xf numFmtId="0" fontId="9" fillId="9" borderId="187" xfId="0" applyFont="1" applyFill="1" applyBorder="1"/>
    <xf numFmtId="0" fontId="9" fillId="9" borderId="188" xfId="0" applyFont="1" applyFill="1" applyBorder="1"/>
    <xf numFmtId="0" fontId="9" fillId="9" borderId="192" xfId="0" applyFont="1" applyFill="1" applyBorder="1"/>
    <xf numFmtId="0" fontId="9" fillId="9" borderId="194" xfId="0" applyFont="1" applyFill="1" applyBorder="1"/>
    <xf numFmtId="0" fontId="9" fillId="9" borderId="195" xfId="0" applyFont="1" applyFill="1" applyBorder="1"/>
    <xf numFmtId="0" fontId="9" fillId="4" borderId="0" xfId="0" applyFont="1" applyFill="1" applyAlignment="1">
      <alignment horizontal="left" vertical="center"/>
    </xf>
    <xf numFmtId="0" fontId="289" fillId="9" borderId="0" xfId="4" applyFont="1" applyFill="1" applyBorder="1" applyAlignment="1">
      <alignment horizontal="center" vertical="top" wrapText="1"/>
    </xf>
    <xf numFmtId="0" fontId="290" fillId="9" borderId="163" xfId="0" applyFont="1" applyFill="1" applyBorder="1" applyAlignment="1">
      <alignment horizontal="left" vertical="top"/>
    </xf>
    <xf numFmtId="0" fontId="24" fillId="50" borderId="15" xfId="0" applyFont="1" applyFill="1" applyBorder="1"/>
    <xf numFmtId="0" fontId="247" fillId="50" borderId="16" xfId="0" applyFont="1" applyFill="1" applyBorder="1"/>
    <xf numFmtId="0" fontId="24" fillId="50" borderId="0" xfId="0" quotePrefix="1" applyFont="1" applyFill="1" applyBorder="1"/>
    <xf numFmtId="0" fontId="247" fillId="50" borderId="17" xfId="0" applyFont="1" applyFill="1" applyBorder="1"/>
    <xf numFmtId="0" fontId="248" fillId="50" borderId="0" xfId="0" applyFont="1" applyFill="1" applyBorder="1"/>
    <xf numFmtId="0" fontId="248" fillId="50" borderId="19" xfId="0" applyFont="1" applyFill="1" applyBorder="1"/>
    <xf numFmtId="0" fontId="247" fillId="50" borderId="20" xfId="0" applyFont="1" applyFill="1" applyBorder="1"/>
    <xf numFmtId="0" fontId="179" fillId="44" borderId="162" xfId="0" applyFont="1" applyFill="1" applyBorder="1" applyAlignment="1">
      <alignment horizontal="center" vertical="center"/>
    </xf>
    <xf numFmtId="0" fontId="9" fillId="44" borderId="164" xfId="0" applyFont="1" applyFill="1" applyBorder="1"/>
    <xf numFmtId="0" fontId="119" fillId="48" borderId="0" xfId="0" applyFont="1" applyFill="1" applyAlignment="1">
      <alignment horizontal="left" indent="2"/>
    </xf>
    <xf numFmtId="0" fontId="9" fillId="48" borderId="200" xfId="0" applyFont="1" applyFill="1" applyBorder="1"/>
    <xf numFmtId="0" fontId="9" fillId="48" borderId="0" xfId="0" applyFont="1" applyFill="1" applyBorder="1"/>
    <xf numFmtId="0" fontId="9" fillId="48" borderId="199" xfId="0" applyFont="1" applyFill="1" applyBorder="1" applyAlignment="1">
      <alignment vertical="center"/>
    </xf>
    <xf numFmtId="0" fontId="9" fillId="48" borderId="202" xfId="0" applyFont="1" applyFill="1" applyBorder="1" applyAlignment="1">
      <alignment vertical="center"/>
    </xf>
    <xf numFmtId="0" fontId="9" fillId="48" borderId="204" xfId="0" applyFont="1" applyFill="1" applyBorder="1" applyAlignment="1">
      <alignment vertical="center"/>
    </xf>
    <xf numFmtId="0" fontId="9" fillId="48" borderId="187" xfId="0" applyFont="1" applyFill="1" applyBorder="1" applyAlignment="1">
      <alignment vertical="center"/>
    </xf>
    <xf numFmtId="0" fontId="9" fillId="48" borderId="190" xfId="0" applyFont="1" applyFill="1" applyBorder="1"/>
    <xf numFmtId="0" fontId="9" fillId="48" borderId="192" xfId="0" applyFont="1" applyFill="1" applyBorder="1" applyAlignment="1">
      <alignment vertical="center"/>
    </xf>
    <xf numFmtId="0" fontId="261" fillId="48" borderId="0" xfId="0" quotePrefix="1" applyFont="1" applyFill="1" applyBorder="1" applyAlignment="1">
      <alignment horizontal="left" vertical="center"/>
    </xf>
    <xf numFmtId="0" fontId="9" fillId="48" borderId="207" xfId="0" applyFont="1" applyFill="1" applyBorder="1" applyAlignment="1">
      <alignment vertical="center"/>
    </xf>
    <xf numFmtId="0" fontId="9" fillId="48" borderId="209" xfId="0" applyFont="1" applyFill="1" applyBorder="1" applyAlignment="1">
      <alignment vertical="center"/>
    </xf>
    <xf numFmtId="0" fontId="9" fillId="48" borderId="194" xfId="0" applyFont="1" applyFill="1" applyBorder="1"/>
    <xf numFmtId="0" fontId="9" fillId="48" borderId="197" xfId="0" applyFont="1" applyFill="1" applyBorder="1"/>
    <xf numFmtId="0" fontId="9" fillId="48" borderId="198" xfId="0" applyFont="1" applyFill="1" applyBorder="1"/>
    <xf numFmtId="0" fontId="278" fillId="9" borderId="0" xfId="0" applyFont="1" applyFill="1" applyBorder="1" applyAlignment="1">
      <alignment horizontal="left" vertical="center"/>
    </xf>
    <xf numFmtId="0" fontId="300" fillId="44" borderId="170" xfId="0" applyFont="1" applyFill="1" applyBorder="1" applyAlignment="1">
      <alignment horizontal="left" indent="1"/>
    </xf>
    <xf numFmtId="0" fontId="304" fillId="48" borderId="197" xfId="0" applyFont="1" applyFill="1" applyBorder="1"/>
    <xf numFmtId="0" fontId="294" fillId="48" borderId="190" xfId="0" applyFont="1" applyFill="1" applyBorder="1" applyAlignment="1">
      <alignment vertical="center"/>
    </xf>
    <xf numFmtId="0" fontId="294" fillId="48" borderId="0" xfId="0" applyFont="1" applyFill="1" applyBorder="1" applyAlignment="1">
      <alignment vertical="center"/>
    </xf>
    <xf numFmtId="0" fontId="294" fillId="48" borderId="205" xfId="0" applyFont="1" applyFill="1" applyBorder="1" applyAlignment="1">
      <alignment vertical="center"/>
    </xf>
    <xf numFmtId="0" fontId="294" fillId="48" borderId="200" xfId="0" applyFont="1" applyFill="1" applyBorder="1" applyAlignment="1">
      <alignment vertical="center"/>
    </xf>
    <xf numFmtId="0" fontId="305" fillId="48" borderId="191" xfId="0" applyFont="1" applyFill="1" applyBorder="1" applyAlignment="1">
      <alignment vertical="center"/>
    </xf>
    <xf numFmtId="0" fontId="305" fillId="48" borderId="193" xfId="0" applyFont="1" applyFill="1" applyBorder="1" applyAlignment="1">
      <alignment vertical="center"/>
    </xf>
    <xf numFmtId="0" fontId="305" fillId="48" borderId="208" xfId="0" applyFont="1" applyFill="1" applyBorder="1" applyAlignment="1">
      <alignment vertical="center"/>
    </xf>
    <xf numFmtId="0" fontId="305" fillId="48" borderId="201" xfId="0" applyFont="1" applyFill="1" applyBorder="1" applyAlignment="1">
      <alignment vertical="center"/>
    </xf>
    <xf numFmtId="0" fontId="305" fillId="48" borderId="203" xfId="0" applyFont="1" applyFill="1" applyBorder="1" applyAlignment="1">
      <alignment vertical="center"/>
    </xf>
    <xf numFmtId="0" fontId="305" fillId="48" borderId="206" xfId="0" applyFont="1" applyFill="1" applyBorder="1" applyAlignment="1">
      <alignment vertical="center"/>
    </xf>
    <xf numFmtId="0" fontId="305" fillId="48" borderId="210" xfId="0" applyFont="1" applyFill="1" applyBorder="1" applyAlignment="1">
      <alignment vertical="center"/>
    </xf>
    <xf numFmtId="0" fontId="157" fillId="48" borderId="190" xfId="0" applyFont="1" applyFill="1" applyBorder="1" applyAlignment="1">
      <alignment horizontal="left" vertical="center"/>
    </xf>
    <xf numFmtId="0" fontId="6" fillId="48" borderId="0" xfId="0" applyFont="1" applyFill="1" applyBorder="1" applyAlignment="1">
      <alignment horizontal="left" vertical="center"/>
    </xf>
    <xf numFmtId="0" fontId="157" fillId="48" borderId="0" xfId="0" applyFont="1" applyFill="1" applyBorder="1" applyAlignment="1">
      <alignment horizontal="left" vertical="center"/>
    </xf>
    <xf numFmtId="0" fontId="9" fillId="48" borderId="211" xfId="0" applyFont="1" applyFill="1" applyBorder="1"/>
    <xf numFmtId="0" fontId="9" fillId="48" borderId="212" xfId="0" applyFont="1" applyFill="1" applyBorder="1"/>
    <xf numFmtId="0" fontId="9" fillId="48" borderId="213" xfId="0" applyFont="1" applyFill="1" applyBorder="1"/>
    <xf numFmtId="0" fontId="9" fillId="48" borderId="214" xfId="0" applyFont="1" applyFill="1" applyBorder="1"/>
    <xf numFmtId="0" fontId="9" fillId="48" borderId="215" xfId="0" applyFont="1" applyFill="1" applyBorder="1"/>
    <xf numFmtId="0" fontId="9" fillId="48" borderId="216" xfId="0" applyFont="1" applyFill="1" applyBorder="1"/>
    <xf numFmtId="0" fontId="9" fillId="48" borderId="217" xfId="0" applyFont="1" applyFill="1" applyBorder="1"/>
    <xf numFmtId="0" fontId="9" fillId="48" borderId="218" xfId="0" applyFont="1" applyFill="1" applyBorder="1"/>
    <xf numFmtId="0" fontId="306" fillId="48" borderId="205" xfId="0" applyFont="1" applyFill="1" applyBorder="1" applyAlignment="1">
      <alignment vertical="center"/>
    </xf>
    <xf numFmtId="0" fontId="9" fillId="51" borderId="0" xfId="0" applyFont="1" applyFill="1" applyAlignment="1">
      <alignment wrapText="1"/>
    </xf>
    <xf numFmtId="0" fontId="9" fillId="19" borderId="0" xfId="0" applyFont="1" applyFill="1"/>
    <xf numFmtId="0" fontId="9" fillId="51" borderId="0" xfId="0" applyFont="1" applyFill="1"/>
    <xf numFmtId="0" fontId="9" fillId="45" borderId="0" xfId="0" applyFont="1" applyFill="1" applyAlignment="1">
      <alignment horizontal="center" vertical="center" wrapText="1"/>
    </xf>
    <xf numFmtId="0" fontId="9" fillId="45" borderId="0" xfId="0" applyFont="1" applyFill="1" applyAlignment="1">
      <alignment horizontal="left" vertical="center"/>
    </xf>
    <xf numFmtId="0" fontId="307" fillId="4" borderId="0" xfId="0" applyFont="1" applyFill="1"/>
    <xf numFmtId="0" fontId="9" fillId="27" borderId="0" xfId="0" applyFont="1" applyFill="1" applyAlignment="1">
      <alignment wrapText="1"/>
    </xf>
    <xf numFmtId="0" fontId="24" fillId="52" borderId="0" xfId="0" quotePrefix="1" applyFont="1" applyFill="1" applyBorder="1"/>
    <xf numFmtId="0" fontId="247" fillId="52" borderId="0" xfId="0" applyFont="1" applyFill="1" applyBorder="1"/>
    <xf numFmtId="0" fontId="13" fillId="11" borderId="0" xfId="0" applyFont="1" applyFill="1" applyBorder="1" applyAlignment="1">
      <alignment horizontal="center"/>
    </xf>
    <xf numFmtId="0" fontId="9" fillId="45" borderId="0" xfId="0" applyFont="1" applyFill="1" applyAlignment="1">
      <alignment vertical="center" wrapText="1"/>
    </xf>
    <xf numFmtId="0" fontId="315" fillId="4" borderId="0" xfId="0" applyFont="1" applyFill="1"/>
    <xf numFmtId="0" fontId="13" fillId="4" borderId="0" xfId="0" applyFont="1" applyFill="1" applyBorder="1"/>
    <xf numFmtId="0" fontId="179" fillId="4" borderId="0" xfId="0" applyFont="1" applyFill="1" applyBorder="1" applyAlignment="1">
      <alignment horizontal="center" vertical="center"/>
    </xf>
    <xf numFmtId="0" fontId="277" fillId="4" borderId="0" xfId="0" applyFont="1" applyFill="1" applyBorder="1" applyAlignment="1">
      <alignment vertical="center"/>
    </xf>
    <xf numFmtId="0" fontId="316" fillId="42" borderId="161" xfId="0" applyFont="1" applyFill="1" applyBorder="1" applyAlignment="1">
      <alignment horizontal="left" vertical="center"/>
    </xf>
    <xf numFmtId="0" fontId="317" fillId="48" borderId="205" xfId="0" applyFont="1" applyFill="1" applyBorder="1" applyAlignment="1">
      <alignment vertical="center"/>
    </xf>
    <xf numFmtId="0" fontId="154" fillId="44" borderId="168" xfId="4" applyFill="1" applyBorder="1" applyAlignment="1">
      <alignment horizontal="left" indent="1"/>
    </xf>
    <xf numFmtId="0" fontId="154" fillId="42" borderId="0" xfId="4" applyFill="1" applyBorder="1"/>
    <xf numFmtId="0" fontId="154" fillId="42" borderId="0" xfId="4" applyFill="1" applyAlignment="1">
      <alignment horizontal="left" vertical="center" indent="2"/>
    </xf>
    <xf numFmtId="0" fontId="154" fillId="42" borderId="0" xfId="4" applyFill="1" applyAlignment="1">
      <alignment vertical="center"/>
    </xf>
    <xf numFmtId="0" fontId="154" fillId="42" borderId="0" xfId="4" applyFill="1" applyBorder="1" applyAlignment="1">
      <alignment horizontal="left"/>
    </xf>
    <xf numFmtId="0" fontId="312" fillId="9" borderId="0" xfId="4" applyFont="1" applyFill="1" applyBorder="1"/>
    <xf numFmtId="165" fontId="105" fillId="38" borderId="0" xfId="0" applyNumberFormat="1" applyFont="1" applyFill="1" applyBorder="1" applyAlignment="1">
      <alignment horizontal="left" vertical="top" indent="2"/>
    </xf>
    <xf numFmtId="0" fontId="184" fillId="9" borderId="0" xfId="0" applyFont="1" applyFill="1" applyBorder="1" applyAlignment="1">
      <alignment vertical="top"/>
    </xf>
    <xf numFmtId="0" fontId="233" fillId="9" borderId="219" xfId="0" applyFont="1" applyFill="1" applyBorder="1" applyAlignment="1">
      <alignment vertical="top" wrapText="1"/>
    </xf>
    <xf numFmtId="0" fontId="233" fillId="9" borderId="132" xfId="0" applyFont="1" applyFill="1" applyBorder="1" applyAlignment="1">
      <alignment vertical="top" wrapText="1"/>
    </xf>
    <xf numFmtId="0" fontId="233" fillId="9" borderId="221" xfId="0" applyFont="1" applyFill="1" applyBorder="1" applyAlignment="1">
      <alignment vertical="top" wrapText="1"/>
    </xf>
    <xf numFmtId="0" fontId="233" fillId="9" borderId="220" xfId="0" applyFont="1" applyFill="1" applyBorder="1" applyAlignment="1">
      <alignment vertical="top" wrapText="1"/>
    </xf>
    <xf numFmtId="0" fontId="233" fillId="9" borderId="130" xfId="0" applyFont="1" applyFill="1" applyBorder="1" applyAlignment="1">
      <alignment vertical="top" wrapText="1"/>
    </xf>
    <xf numFmtId="0" fontId="233" fillId="9" borderId="133" xfId="0" applyFont="1" applyFill="1" applyBorder="1" applyAlignment="1">
      <alignment vertical="top" wrapText="1"/>
    </xf>
    <xf numFmtId="0" fontId="16" fillId="19" borderId="0" xfId="0" applyFont="1" applyFill="1" applyAlignment="1">
      <alignment wrapText="1"/>
    </xf>
    <xf numFmtId="0" fontId="233" fillId="9" borderId="0" xfId="0" applyFont="1" applyFill="1" applyBorder="1" applyAlignment="1">
      <alignment horizontal="left" vertical="center" indent="1"/>
    </xf>
    <xf numFmtId="0" fontId="9" fillId="53" borderId="0" xfId="0" applyFont="1" applyFill="1"/>
    <xf numFmtId="0" fontId="323" fillId="9" borderId="0" xfId="0" applyFont="1" applyFill="1" applyAlignment="1">
      <alignment horizontal="left" vertical="top" wrapText="1" indent="1"/>
    </xf>
    <xf numFmtId="14" fontId="9" fillId="9" borderId="0" xfId="0" applyNumberFormat="1" applyFont="1" applyFill="1" applyBorder="1" applyAlignment="1">
      <alignment horizontal="center" vertical="center" shrinkToFit="1"/>
    </xf>
    <xf numFmtId="14" fontId="9" fillId="4" borderId="229" xfId="0" applyNumberFormat="1" applyFont="1" applyFill="1" applyBorder="1" applyAlignment="1">
      <alignment horizontal="center" vertical="center" shrinkToFit="1"/>
    </xf>
    <xf numFmtId="0" fontId="233" fillId="9" borderId="0" xfId="0" applyFont="1" applyFill="1" applyBorder="1" applyAlignment="1">
      <alignment vertical="top"/>
    </xf>
    <xf numFmtId="0" fontId="184" fillId="9" borderId="0" xfId="0" applyFont="1" applyFill="1" applyBorder="1" applyAlignment="1">
      <alignment vertical="center"/>
    </xf>
    <xf numFmtId="0" fontId="243" fillId="9" borderId="0" xfId="0" applyFont="1" applyFill="1" applyAlignment="1">
      <alignment vertical="top"/>
    </xf>
    <xf numFmtId="0" fontId="233" fillId="48" borderId="0" xfId="0" applyFont="1" applyFill="1" applyBorder="1" applyAlignment="1">
      <alignment vertical="top"/>
    </xf>
    <xf numFmtId="0" fontId="233" fillId="54" borderId="0" xfId="0" applyFont="1" applyFill="1" applyBorder="1" applyAlignment="1">
      <alignment vertical="top"/>
    </xf>
    <xf numFmtId="0" fontId="154" fillId="9" borderId="0" xfId="4" applyFill="1" applyAlignment="1">
      <alignment vertical="top"/>
    </xf>
    <xf numFmtId="0" fontId="9" fillId="4" borderId="0" xfId="0" applyFont="1" applyFill="1" applyAlignment="1">
      <alignment horizontal="center"/>
    </xf>
    <xf numFmtId="0" fontId="237" fillId="9" borderId="0" xfId="0" applyFont="1" applyFill="1" applyBorder="1" applyAlignment="1">
      <alignment horizontal="left" indent="1"/>
    </xf>
    <xf numFmtId="0" fontId="23" fillId="4" borderId="0" xfId="0" applyFont="1" applyFill="1" applyBorder="1"/>
    <xf numFmtId="0" fontId="25" fillId="4" borderId="0" xfId="0" applyFont="1" applyFill="1" applyBorder="1"/>
    <xf numFmtId="0" fontId="23" fillId="4" borderId="19" xfId="0" applyFont="1" applyFill="1" applyBorder="1"/>
    <xf numFmtId="0" fontId="25" fillId="4" borderId="19" xfId="0" applyFont="1" applyFill="1" applyBorder="1"/>
    <xf numFmtId="0" fontId="233" fillId="56" borderId="0" xfId="0" applyFont="1" applyFill="1" applyBorder="1" applyAlignment="1">
      <alignment vertical="top"/>
    </xf>
    <xf numFmtId="0" fontId="233" fillId="7" borderId="0" xfId="0" applyFont="1" applyFill="1" applyBorder="1" applyAlignment="1">
      <alignment vertical="top"/>
    </xf>
    <xf numFmtId="5" fontId="233" fillId="4" borderId="229" xfId="5" applyNumberFormat="1" applyFont="1" applyFill="1" applyBorder="1" applyAlignment="1">
      <alignment horizontal="right" vertical="center"/>
    </xf>
    <xf numFmtId="9" fontId="233" fillId="9" borderId="0" xfId="1" applyFont="1" applyFill="1" applyBorder="1" applyAlignment="1">
      <alignment vertical="top"/>
    </xf>
    <xf numFmtId="0" fontId="233" fillId="4" borderId="24" xfId="5" applyNumberFormat="1" applyFont="1" applyFill="1" applyBorder="1" applyAlignment="1">
      <alignment horizontal="right" vertical="center"/>
    </xf>
    <xf numFmtId="166" fontId="234" fillId="9" borderId="0" xfId="0" applyNumberFormat="1" applyFont="1" applyFill="1" applyBorder="1" applyAlignment="1">
      <alignment vertical="top" shrinkToFit="1"/>
    </xf>
    <xf numFmtId="0" fontId="237" fillId="9" borderId="0" xfId="0" applyFont="1" applyFill="1" applyBorder="1" applyAlignment="1">
      <alignment vertical="top"/>
    </xf>
    <xf numFmtId="5" fontId="233" fillId="9" borderId="0" xfId="5" applyNumberFormat="1" applyFont="1" applyFill="1" applyBorder="1" applyAlignment="1">
      <alignment horizontal="right" vertical="center"/>
    </xf>
    <xf numFmtId="0" fontId="157" fillId="9" borderId="0" xfId="0" applyFont="1" applyFill="1" applyBorder="1" applyAlignment="1">
      <alignment vertical="top"/>
    </xf>
    <xf numFmtId="5" fontId="243" fillId="9" borderId="0" xfId="0" applyNumberFormat="1" applyFont="1" applyFill="1" applyAlignment="1">
      <alignment horizontal="right" vertical="top" shrinkToFit="1"/>
    </xf>
    <xf numFmtId="5" fontId="270" fillId="9" borderId="0" xfId="0" applyNumberFormat="1" applyFont="1" applyFill="1" applyAlignment="1">
      <alignment horizontal="right" vertical="top" shrinkToFit="1"/>
    </xf>
    <xf numFmtId="5" fontId="346" fillId="9" borderId="0" xfId="0" applyNumberFormat="1" applyFont="1" applyFill="1" applyAlignment="1">
      <alignment vertical="top" wrapText="1"/>
    </xf>
    <xf numFmtId="0" fontId="9" fillId="9" borderId="0" xfId="0" applyFont="1" applyFill="1" applyBorder="1" applyAlignment="1">
      <alignment horizontal="right"/>
    </xf>
    <xf numFmtId="0" fontId="9" fillId="56" borderId="0" xfId="0" applyFont="1" applyFill="1" applyBorder="1"/>
    <xf numFmtId="0" fontId="7" fillId="9" borderId="0" xfId="0" applyFont="1" applyFill="1" applyBorder="1" applyAlignment="1">
      <alignment vertical="center"/>
    </xf>
    <xf numFmtId="0" fontId="348" fillId="42" borderId="161" xfId="0" applyFont="1" applyFill="1" applyBorder="1" applyAlignment="1">
      <alignment vertical="center"/>
    </xf>
    <xf numFmtId="0" fontId="9" fillId="53" borderId="0" xfId="0" applyFont="1" applyFill="1" applyBorder="1"/>
    <xf numFmtId="0" fontId="9" fillId="53" borderId="164" xfId="0" applyFont="1" applyFill="1" applyBorder="1"/>
    <xf numFmtId="0" fontId="233" fillId="53" borderId="0" xfId="0" applyFont="1" applyFill="1" applyBorder="1" applyAlignment="1">
      <alignment vertical="top"/>
    </xf>
    <xf numFmtId="0" fontId="237" fillId="53" borderId="0" xfId="0" applyFont="1" applyFill="1" applyBorder="1"/>
    <xf numFmtId="0" fontId="233" fillId="53" borderId="0" xfId="0" applyFont="1" applyFill="1" applyBorder="1" applyAlignment="1">
      <alignment vertical="top" wrapText="1"/>
    </xf>
    <xf numFmtId="0" fontId="233" fillId="53" borderId="0" xfId="0" applyFont="1" applyFill="1" applyBorder="1" applyAlignment="1">
      <alignment horizontal="left" vertical="top" wrapText="1"/>
    </xf>
    <xf numFmtId="0" fontId="9" fillId="53" borderId="166" xfId="0" applyFont="1" applyFill="1" applyBorder="1"/>
    <xf numFmtId="0" fontId="9" fillId="53" borderId="167" xfId="0" applyFont="1" applyFill="1" applyBorder="1"/>
    <xf numFmtId="0" fontId="264" fillId="53" borderId="0" xfId="0" applyFont="1" applyFill="1" applyBorder="1" applyAlignment="1">
      <alignment vertical="center" wrapText="1"/>
    </xf>
    <xf numFmtId="0" fontId="336" fillId="53" borderId="0" xfId="0" applyFont="1" applyFill="1" applyBorder="1" applyAlignment="1">
      <alignment vertical="center" wrapText="1"/>
    </xf>
    <xf numFmtId="0" fontId="184" fillId="53" borderId="0" xfId="0" applyFont="1" applyFill="1" applyBorder="1" applyAlignment="1">
      <alignment vertical="top"/>
    </xf>
    <xf numFmtId="0" fontId="119" fillId="53" borderId="0" xfId="0" applyFont="1" applyFill="1" applyBorder="1" applyAlignment="1">
      <alignment vertical="top"/>
    </xf>
    <xf numFmtId="0" fontId="234" fillId="53" borderId="0" xfId="0" applyFont="1" applyFill="1" applyBorder="1" applyAlignment="1">
      <alignment horizontal="left" vertical="top" wrapText="1"/>
    </xf>
    <xf numFmtId="0" fontId="234" fillId="53" borderId="0" xfId="0" applyFont="1" applyFill="1" applyBorder="1" applyAlignment="1">
      <alignment horizontal="right" vertical="top" wrapText="1"/>
    </xf>
    <xf numFmtId="0" fontId="233" fillId="53" borderId="0" xfId="0" applyFont="1" applyFill="1" applyBorder="1" applyAlignment="1">
      <alignment vertical="center"/>
    </xf>
    <xf numFmtId="0" fontId="233" fillId="53" borderId="0" xfId="0" applyFont="1" applyFill="1" applyBorder="1"/>
    <xf numFmtId="0" fontId="235" fillId="53" borderId="0" xfId="0" applyFont="1" applyFill="1" applyBorder="1" applyAlignment="1">
      <alignment horizontal="left" indent="1"/>
    </xf>
    <xf numFmtId="0" fontId="234" fillId="53" borderId="0" xfId="0" applyFont="1" applyFill="1" applyBorder="1" applyAlignment="1">
      <alignment horizontal="left" vertical="top" indent="1"/>
    </xf>
    <xf numFmtId="0" fontId="21" fillId="59" borderId="161" xfId="0" applyFont="1" applyFill="1" applyBorder="1"/>
    <xf numFmtId="0" fontId="179" fillId="60" borderId="160" xfId="0" applyFont="1" applyFill="1" applyBorder="1" applyAlignment="1">
      <alignment horizontal="center" vertical="center"/>
    </xf>
    <xf numFmtId="0" fontId="179" fillId="60" borderId="162" xfId="0" applyFont="1" applyFill="1" applyBorder="1" applyAlignment="1">
      <alignment horizontal="center" vertical="center"/>
    </xf>
    <xf numFmtId="0" fontId="350" fillId="59" borderId="162" xfId="0" applyFont="1" applyFill="1" applyBorder="1" applyAlignment="1">
      <alignment horizontal="center" vertical="center"/>
    </xf>
    <xf numFmtId="0" fontId="349" fillId="4" borderId="0" xfId="0" applyFont="1" applyFill="1"/>
    <xf numFmtId="0" fontId="349" fillId="4" borderId="0" xfId="0" applyFont="1" applyFill="1" applyBorder="1"/>
    <xf numFmtId="0" fontId="351" fillId="44" borderId="162" xfId="0" applyFont="1" applyFill="1" applyBorder="1" applyAlignment="1">
      <alignment horizontal="center" vertical="center"/>
    </xf>
    <xf numFmtId="0" fontId="352" fillId="4" borderId="0" xfId="0" applyFont="1" applyFill="1"/>
    <xf numFmtId="0" fontId="333" fillId="53" borderId="0" xfId="0" applyFont="1" applyFill="1" applyBorder="1" applyAlignment="1">
      <alignment horizontal="left" vertical="top" wrapText="1"/>
    </xf>
    <xf numFmtId="0" fontId="333" fillId="53" borderId="0" xfId="0" applyFont="1" applyFill="1" applyBorder="1" applyAlignment="1">
      <alignment vertical="top" wrapText="1"/>
    </xf>
    <xf numFmtId="0" fontId="235" fillId="53" borderId="0" xfId="0" applyFont="1" applyFill="1" applyBorder="1" applyAlignment="1">
      <alignment horizontal="left"/>
    </xf>
    <xf numFmtId="0" fontId="234" fillId="53" borderId="0" xfId="0" applyFont="1" applyFill="1" applyBorder="1" applyAlignment="1">
      <alignment horizontal="left" vertical="top"/>
    </xf>
    <xf numFmtId="0" fontId="22" fillId="9" borderId="0" xfId="0" applyFont="1" applyFill="1" applyBorder="1" applyAlignment="1">
      <alignment vertical="top"/>
    </xf>
    <xf numFmtId="0" fontId="356" fillId="9" borderId="0" xfId="0" applyFont="1" applyFill="1" applyBorder="1" applyAlignment="1">
      <alignment vertical="top"/>
    </xf>
    <xf numFmtId="0" fontId="6" fillId="9" borderId="0" xfId="0" applyFont="1" applyFill="1" applyBorder="1" applyAlignment="1">
      <alignment vertical="top"/>
    </xf>
    <xf numFmtId="0" fontId="105" fillId="9" borderId="0" xfId="0" applyFont="1" applyFill="1" applyAlignment="1">
      <alignment vertical="center" wrapText="1"/>
    </xf>
    <xf numFmtId="0" fontId="184" fillId="9" borderId="0" xfId="0" applyFont="1" applyFill="1" applyAlignment="1">
      <alignment vertical="center"/>
    </xf>
    <xf numFmtId="0" fontId="119" fillId="9" borderId="0" xfId="0" applyFont="1" applyFill="1" applyAlignment="1">
      <alignment vertical="top"/>
    </xf>
    <xf numFmtId="0" fontId="233" fillId="9" borderId="0" xfId="0" applyFont="1" applyFill="1" applyAlignment="1">
      <alignment vertical="top"/>
    </xf>
    <xf numFmtId="0" fontId="233" fillId="9" borderId="0" xfId="0" applyFont="1" applyFill="1" applyAlignment="1">
      <alignment vertical="top" wrapText="1"/>
    </xf>
    <xf numFmtId="0" fontId="333" fillId="58" borderId="0" xfId="0" applyFont="1" applyFill="1" applyBorder="1" applyAlignment="1">
      <alignment horizontal="left" vertical="top" wrapText="1"/>
    </xf>
    <xf numFmtId="0" fontId="333" fillId="58" borderId="230" xfId="0" applyFont="1" applyFill="1" applyBorder="1" applyAlignment="1">
      <alignment horizontal="left" vertical="top" wrapText="1"/>
    </xf>
    <xf numFmtId="0" fontId="287" fillId="53" borderId="0" xfId="0" applyFont="1" applyFill="1" applyBorder="1" applyAlignment="1">
      <alignment vertical="center" wrapText="1"/>
    </xf>
    <xf numFmtId="0" fontId="333" fillId="31" borderId="0" xfId="0" applyFont="1" applyFill="1" applyBorder="1" applyAlignment="1">
      <alignment horizontal="left" vertical="top" wrapText="1"/>
    </xf>
    <xf numFmtId="0" fontId="9" fillId="4" borderId="13" xfId="0" applyFont="1" applyFill="1" applyBorder="1"/>
    <xf numFmtId="0" fontId="9" fillId="4" borderId="4" xfId="0" applyFont="1" applyFill="1" applyBorder="1"/>
    <xf numFmtId="0" fontId="364" fillId="4" borderId="0" xfId="0" applyFont="1" applyFill="1"/>
    <xf numFmtId="0" fontId="365" fillId="4" borderId="0" xfId="0" applyFont="1" applyFill="1"/>
    <xf numFmtId="0" fontId="286" fillId="53" borderId="0" xfId="0" applyFont="1" applyFill="1" applyBorder="1" applyAlignment="1">
      <alignment vertical="top" textRotation="10"/>
    </xf>
    <xf numFmtId="0" fontId="286" fillId="53" borderId="0" xfId="0" applyFont="1" applyFill="1" applyBorder="1" applyAlignment="1">
      <alignment vertical="top" textRotation="100" wrapText="1"/>
    </xf>
    <xf numFmtId="0" fontId="9" fillId="61" borderId="0" xfId="0" applyFont="1" applyFill="1" applyAlignment="1">
      <alignment wrapText="1"/>
    </xf>
    <xf numFmtId="0" fontId="9" fillId="5" borderId="0" xfId="0" applyFont="1" applyFill="1" applyAlignment="1">
      <alignment wrapText="1"/>
    </xf>
    <xf numFmtId="0" fontId="233" fillId="7" borderId="221" xfId="0" applyFont="1" applyFill="1" applyBorder="1" applyAlignment="1">
      <alignment vertical="top" wrapText="1"/>
    </xf>
    <xf numFmtId="0" fontId="233" fillId="7" borderId="0" xfId="0" applyFont="1" applyFill="1" applyBorder="1" applyAlignment="1">
      <alignment vertical="top" wrapText="1"/>
    </xf>
    <xf numFmtId="0" fontId="233" fillId="7" borderId="220" xfId="0" applyFont="1" applyFill="1" applyBorder="1" applyAlignment="1">
      <alignment vertical="top" wrapText="1"/>
    </xf>
    <xf numFmtId="0" fontId="233" fillId="7" borderId="219" xfId="0" applyFont="1" applyFill="1" applyBorder="1" applyAlignment="1">
      <alignment vertical="top" wrapText="1"/>
    </xf>
    <xf numFmtId="0" fontId="233" fillId="31" borderId="0" xfId="0" applyFont="1" applyFill="1" applyBorder="1" applyAlignment="1">
      <alignment vertical="top" wrapText="1"/>
    </xf>
    <xf numFmtId="0" fontId="233" fillId="31" borderId="130" xfId="0" applyFont="1" applyFill="1" applyBorder="1" applyAlignment="1">
      <alignment vertical="top" wrapText="1"/>
    </xf>
    <xf numFmtId="0" fontId="233" fillId="31" borderId="132" xfId="0" applyFont="1" applyFill="1" applyBorder="1" applyAlignment="1">
      <alignment vertical="top" wrapText="1"/>
    </xf>
    <xf numFmtId="0" fontId="233" fillId="31" borderId="133" xfId="0" applyFont="1" applyFill="1" applyBorder="1" applyAlignment="1">
      <alignment vertical="top" wrapText="1"/>
    </xf>
    <xf numFmtId="0" fontId="357" fillId="53" borderId="0" xfId="0" applyFont="1" applyFill="1" applyBorder="1" applyAlignment="1">
      <alignment horizontal="left" vertical="center" indent="1"/>
    </xf>
    <xf numFmtId="0" fontId="357" fillId="53" borderId="0" xfId="0" applyFont="1" applyFill="1" applyBorder="1" applyAlignment="1">
      <alignment horizontal="left" indent="1"/>
    </xf>
    <xf numFmtId="0" fontId="237" fillId="58" borderId="0" xfId="0" applyFont="1" applyFill="1" applyBorder="1" applyAlignment="1">
      <alignment horizontal="left" indent="1"/>
    </xf>
    <xf numFmtId="0" fontId="372" fillId="9" borderId="0" xfId="0" applyFont="1" applyFill="1" applyBorder="1" applyAlignment="1">
      <alignment vertical="center"/>
    </xf>
    <xf numFmtId="0" fontId="371" fillId="9" borderId="19" xfId="0" applyFont="1" applyFill="1" applyBorder="1" applyAlignment="1">
      <alignment horizontal="center" vertical="center"/>
    </xf>
    <xf numFmtId="0" fontId="371" fillId="53" borderId="21" xfId="0" applyFont="1" applyFill="1" applyBorder="1" applyAlignment="1">
      <alignment vertical="center"/>
    </xf>
    <xf numFmtId="0" fontId="233" fillId="53" borderId="22" xfId="0" applyFont="1" applyFill="1" applyBorder="1" applyAlignment="1">
      <alignment vertical="top"/>
    </xf>
    <xf numFmtId="0" fontId="371" fillId="53" borderId="22" xfId="0" applyFont="1" applyFill="1" applyBorder="1" applyAlignment="1">
      <alignment vertical="center"/>
    </xf>
    <xf numFmtId="0" fontId="375" fillId="9" borderId="163" xfId="0" applyFont="1" applyFill="1" applyBorder="1" applyAlignment="1">
      <alignment horizontal="center" vertical="center"/>
    </xf>
    <xf numFmtId="0" fontId="9" fillId="45" borderId="0" xfId="0" applyFont="1" applyFill="1" applyAlignment="1">
      <alignment horizontal="center" wrapText="1"/>
    </xf>
    <xf numFmtId="0" fontId="376" fillId="4" borderId="0" xfId="0" applyFont="1" applyFill="1" applyAlignment="1">
      <alignment horizontal="center" vertical="center"/>
    </xf>
    <xf numFmtId="0" fontId="377" fillId="4" borderId="0" xfId="0" applyFont="1" applyFill="1" applyAlignment="1">
      <alignment horizontal="center" vertical="center"/>
    </xf>
    <xf numFmtId="0" fontId="9" fillId="4" borderId="0" xfId="0" applyFont="1" applyFill="1" applyAlignment="1">
      <alignment horizontal="right" shrinkToFit="1"/>
    </xf>
    <xf numFmtId="0" fontId="379" fillId="4" borderId="0" xfId="0" applyFont="1" applyFill="1"/>
    <xf numFmtId="0" fontId="379" fillId="4" borderId="0" xfId="0" applyFont="1" applyFill="1" applyAlignment="1">
      <alignment horizontal="right" vertical="center"/>
    </xf>
    <xf numFmtId="0" fontId="379" fillId="45" borderId="0" xfId="0" applyFont="1" applyFill="1"/>
    <xf numFmtId="0" fontId="9" fillId="55" borderId="0" xfId="0" applyFont="1" applyFill="1"/>
    <xf numFmtId="0" fontId="385" fillId="48" borderId="0" xfId="0" applyFont="1" applyFill="1" applyBorder="1" applyAlignment="1">
      <alignment vertical="center"/>
    </xf>
    <xf numFmtId="0" fontId="386" fillId="48" borderId="0" xfId="0" applyFont="1" applyFill="1" applyBorder="1"/>
    <xf numFmtId="0" fontId="358" fillId="53" borderId="0" xfId="0" applyFont="1" applyFill="1" applyBorder="1" applyAlignment="1">
      <alignment vertical="top"/>
    </xf>
    <xf numFmtId="0" fontId="388" fillId="53" borderId="0" xfId="0" applyFont="1" applyFill="1" applyBorder="1" applyAlignment="1">
      <alignment vertical="top"/>
    </xf>
    <xf numFmtId="0" fontId="361" fillId="48" borderId="0" xfId="0" applyFont="1" applyFill="1" applyBorder="1" applyAlignment="1">
      <alignment horizontal="right" vertical="center" indent="1"/>
    </xf>
    <xf numFmtId="0" fontId="16" fillId="4" borderId="3" xfId="0" applyFont="1" applyFill="1" applyBorder="1"/>
    <xf numFmtId="0" fontId="16" fillId="51" borderId="0" xfId="0" applyFont="1" applyFill="1"/>
    <xf numFmtId="0" fontId="9" fillId="4" borderId="0" xfId="0" applyFont="1" applyFill="1" applyAlignment="1">
      <alignment horizontal="left" indent="1"/>
    </xf>
    <xf numFmtId="0" fontId="234" fillId="9" borderId="0" xfId="0" applyFont="1" applyFill="1" applyBorder="1" applyAlignment="1">
      <alignment horizontal="left" vertical="center" indent="1"/>
    </xf>
    <xf numFmtId="0" fontId="7" fillId="9" borderId="0" xfId="0" applyFont="1" applyFill="1" applyBorder="1" applyAlignment="1">
      <alignment horizontal="left" indent="1"/>
    </xf>
    <xf numFmtId="0" fontId="22" fillId="9" borderId="0" xfId="0" applyFont="1" applyFill="1" applyBorder="1" applyAlignment="1">
      <alignment horizontal="left" indent="1"/>
    </xf>
    <xf numFmtId="0" fontId="390" fillId="9" borderId="0" xfId="0" applyFont="1" applyFill="1" applyBorder="1"/>
    <xf numFmtId="0" fontId="391" fillId="9" borderId="0" xfId="0" applyFont="1" applyFill="1" applyBorder="1" applyAlignment="1">
      <alignment horizontal="left" indent="1"/>
    </xf>
    <xf numFmtId="0" fontId="197" fillId="4" borderId="0" xfId="0" applyFont="1" applyFill="1" applyAlignment="1"/>
    <xf numFmtId="0" fontId="197" fillId="4" borderId="0" xfId="0" applyFont="1" applyFill="1"/>
    <xf numFmtId="0" fontId="357" fillId="9" borderId="0" xfId="0" applyFont="1" applyFill="1" applyBorder="1" applyAlignment="1">
      <alignment vertical="top"/>
    </xf>
    <xf numFmtId="0" fontId="357" fillId="9" borderId="0" xfId="4" applyFont="1" applyFill="1" applyBorder="1"/>
    <xf numFmtId="0" fontId="375" fillId="4" borderId="0" xfId="0" applyFont="1" applyFill="1" applyAlignment="1">
      <alignment horizontal="center"/>
    </xf>
    <xf numFmtId="0" fontId="7" fillId="58" borderId="0" xfId="0" applyFont="1" applyFill="1" applyBorder="1" applyAlignment="1">
      <alignment horizontal="right" vertical="center"/>
    </xf>
    <xf numFmtId="0" fontId="6" fillId="9" borderId="0" xfId="0" applyFont="1" applyFill="1" applyBorder="1" applyAlignment="1">
      <alignment horizontal="left" vertical="top" indent="1"/>
    </xf>
    <xf numFmtId="0" fontId="16" fillId="45" borderId="0" xfId="0" applyFont="1" applyFill="1"/>
    <xf numFmtId="0" fontId="395" fillId="9" borderId="0" xfId="0" applyFont="1" applyFill="1" applyBorder="1" applyAlignment="1">
      <alignment horizontal="right" vertical="top" indent="1"/>
    </xf>
    <xf numFmtId="0" fontId="105" fillId="51" borderId="0" xfId="0" applyFont="1" applyFill="1" applyBorder="1" applyAlignment="1">
      <alignment vertical="top"/>
    </xf>
    <xf numFmtId="0" fontId="243" fillId="51" borderId="0" xfId="0" applyFont="1" applyFill="1" applyAlignment="1">
      <alignment vertical="top"/>
    </xf>
    <xf numFmtId="0" fontId="105" fillId="31" borderId="0" xfId="0" applyFont="1" applyFill="1" applyBorder="1" applyAlignment="1">
      <alignment vertical="top"/>
    </xf>
    <xf numFmtId="0" fontId="233" fillId="31" borderId="0" xfId="0" applyFont="1" applyFill="1" applyBorder="1" applyAlignment="1">
      <alignment vertical="top"/>
    </xf>
    <xf numFmtId="0" fontId="105" fillId="64" borderId="0" xfId="0" applyFont="1" applyFill="1" applyBorder="1" applyAlignment="1">
      <alignment vertical="top"/>
    </xf>
    <xf numFmtId="0" fontId="233" fillId="64" borderId="0" xfId="0" applyFont="1" applyFill="1" applyBorder="1" applyAlignment="1">
      <alignment vertical="top"/>
    </xf>
    <xf numFmtId="0" fontId="395" fillId="9" borderId="0" xfId="0" applyFont="1" applyFill="1" applyBorder="1" applyAlignment="1">
      <alignment horizontal="right" vertical="center" indent="1"/>
    </xf>
    <xf numFmtId="0" fontId="397" fillId="4" borderId="0" xfId="0" applyFont="1" applyFill="1"/>
    <xf numFmtId="0" fontId="9" fillId="65" borderId="0" xfId="0" applyFont="1" applyFill="1" applyAlignment="1">
      <alignment wrapText="1"/>
    </xf>
    <xf numFmtId="0" fontId="16" fillId="4" borderId="0" xfId="0" applyFont="1" applyFill="1" applyAlignment="1">
      <alignment horizontal="right" indent="1"/>
    </xf>
    <xf numFmtId="166" fontId="403" fillId="9" borderId="0" xfId="0" applyNumberFormat="1" applyFont="1" applyFill="1" applyAlignment="1">
      <alignment vertical="top"/>
    </xf>
    <xf numFmtId="166" fontId="404" fillId="9" borderId="0" xfId="0" applyNumberFormat="1" applyFont="1" applyFill="1" applyAlignment="1">
      <alignment vertical="top"/>
    </xf>
    <xf numFmtId="0" fontId="347" fillId="9" borderId="0" xfId="0" applyFont="1" applyFill="1" applyAlignment="1">
      <alignment horizontal="center"/>
    </xf>
    <xf numFmtId="0" fontId="235" fillId="9" borderId="0" xfId="0" applyFont="1" applyFill="1"/>
    <xf numFmtId="0" fontId="347" fillId="9" borderId="0" xfId="0" applyFont="1" applyFill="1" applyAlignment="1">
      <alignment horizontal="right"/>
    </xf>
    <xf numFmtId="166" fontId="234" fillId="9" borderId="0" xfId="0" applyNumberFormat="1" applyFont="1" applyFill="1" applyAlignment="1">
      <alignment vertical="top" shrinkToFit="1"/>
    </xf>
    <xf numFmtId="166" fontId="233" fillId="9" borderId="0" xfId="0" applyNumberFormat="1" applyFont="1" applyFill="1" applyAlignment="1">
      <alignment horizontal="right" vertical="top"/>
    </xf>
    <xf numFmtId="0" fontId="405" fillId="9" borderId="0" xfId="0" applyFont="1" applyFill="1" applyBorder="1" applyAlignment="1">
      <alignment horizontal="left" vertical="center" indent="1"/>
    </xf>
    <xf numFmtId="5" fontId="346" fillId="4" borderId="229" xfId="0" applyNumberFormat="1" applyFont="1" applyFill="1" applyBorder="1" applyAlignment="1">
      <alignment vertical="top" wrapText="1"/>
    </xf>
    <xf numFmtId="5" fontId="396" fillId="9" borderId="0" xfId="0" applyNumberFormat="1" applyFont="1" applyFill="1" applyAlignment="1">
      <alignment horizontal="right" vertical="top" shrinkToFit="1"/>
    </xf>
    <xf numFmtId="0" fontId="233" fillId="57" borderId="247" xfId="0" applyFont="1" applyFill="1" applyBorder="1" applyAlignment="1">
      <alignment vertical="top" wrapText="1"/>
    </xf>
    <xf numFmtId="0" fontId="9" fillId="57" borderId="247" xfId="0" applyFont="1" applyFill="1" applyBorder="1"/>
    <xf numFmtId="0" fontId="406" fillId="57" borderId="247" xfId="0" applyFont="1" applyFill="1" applyBorder="1" applyAlignment="1">
      <alignment vertical="top"/>
    </xf>
    <xf numFmtId="0" fontId="409" fillId="57" borderId="0" xfId="0" applyFont="1" applyFill="1"/>
    <xf numFmtId="0" fontId="410" fillId="57" borderId="0" xfId="0" applyFont="1" applyFill="1" applyAlignment="1">
      <alignment horizontal="right" vertical="center" wrapText="1"/>
    </xf>
    <xf numFmtId="0" fontId="411" fillId="57" borderId="0" xfId="0" applyFont="1" applyFill="1" applyAlignment="1">
      <alignment vertical="top" wrapText="1"/>
    </xf>
    <xf numFmtId="0" fontId="412" fillId="57" borderId="0" xfId="0" applyFont="1" applyFill="1" applyAlignment="1">
      <alignment horizontal="right" vertical="center" wrapText="1"/>
    </xf>
    <xf numFmtId="0" fontId="233" fillId="9" borderId="0" xfId="5" applyNumberFormat="1" applyFont="1" applyFill="1" applyBorder="1" applyAlignment="1">
      <alignment horizontal="right" vertical="center"/>
    </xf>
    <xf numFmtId="0" fontId="415" fillId="57" borderId="0" xfId="0" applyFont="1" applyFill="1"/>
    <xf numFmtId="0" fontId="416" fillId="57" borderId="0" xfId="0" applyFont="1" applyFill="1"/>
    <xf numFmtId="0" fontId="177" fillId="9" borderId="0" xfId="0" applyFont="1" applyFill="1" applyBorder="1" applyAlignment="1">
      <alignment vertical="top"/>
    </xf>
    <xf numFmtId="0" fontId="9" fillId="9" borderId="0" xfId="0" applyFont="1" applyFill="1" applyBorder="1" applyAlignment="1">
      <alignment vertical="top" shrinkToFit="1"/>
    </xf>
    <xf numFmtId="0" fontId="14" fillId="9" borderId="0" xfId="0" applyFont="1" applyFill="1" applyBorder="1" applyAlignment="1"/>
    <xf numFmtId="0" fontId="119" fillId="9" borderId="0" xfId="0" applyFont="1" applyFill="1" applyBorder="1" applyAlignment="1">
      <alignment horizontal="right" vertical="top"/>
    </xf>
    <xf numFmtId="0" fontId="384" fillId="48" borderId="0" xfId="0" applyFont="1" applyFill="1" applyBorder="1" applyAlignment="1">
      <alignment horizontal="left" vertical="center"/>
    </xf>
    <xf numFmtId="0" fontId="385" fillId="48" borderId="0" xfId="0" applyFont="1" applyFill="1" applyBorder="1" applyAlignment="1">
      <alignment horizontal="left" vertical="center" indent="2"/>
    </xf>
    <xf numFmtId="0" fontId="286" fillId="9" borderId="0" xfId="0" applyFont="1" applyFill="1" applyBorder="1" applyAlignment="1">
      <alignment vertical="top"/>
    </xf>
    <xf numFmtId="0" fontId="233" fillId="27" borderId="0" xfId="0" applyFont="1" applyFill="1" applyBorder="1" applyAlignment="1">
      <alignment vertical="top"/>
    </xf>
    <xf numFmtId="0" fontId="9" fillId="27" borderId="0" xfId="0" applyFont="1" applyFill="1" applyBorder="1"/>
    <xf numFmtId="0" fontId="233" fillId="27" borderId="231" xfId="0" applyFont="1" applyFill="1" applyBorder="1" applyAlignment="1">
      <alignment vertical="top"/>
    </xf>
    <xf numFmtId="0" fontId="233" fillId="27" borderId="250" xfId="0" applyFont="1" applyFill="1" applyBorder="1" applyAlignment="1">
      <alignment vertical="top"/>
    </xf>
    <xf numFmtId="0" fontId="233" fillId="27" borderId="179" xfId="0" applyFont="1" applyFill="1" applyBorder="1" applyAlignment="1">
      <alignment vertical="top"/>
    </xf>
    <xf numFmtId="0" fontId="233" fillId="27" borderId="251" xfId="0" applyFont="1" applyFill="1" applyBorder="1" applyAlignment="1">
      <alignment vertical="top"/>
    </xf>
    <xf numFmtId="0" fontId="9" fillId="27" borderId="179" xfId="0" applyFont="1" applyFill="1" applyBorder="1"/>
    <xf numFmtId="0" fontId="9" fillId="27" borderId="251" xfId="0" applyFont="1" applyFill="1" applyBorder="1"/>
    <xf numFmtId="0" fontId="9" fillId="27" borderId="253" xfId="0" applyFont="1" applyFill="1" applyBorder="1"/>
    <xf numFmtId="0" fontId="9" fillId="27" borderId="22" xfId="0" applyFont="1" applyFill="1" applyBorder="1"/>
    <xf numFmtId="0" fontId="433" fillId="27" borderId="0" xfId="0" applyFont="1" applyFill="1" applyBorder="1" applyAlignment="1">
      <alignment vertical="top"/>
    </xf>
    <xf numFmtId="0" fontId="433" fillId="27" borderId="0" xfId="0" applyFont="1" applyFill="1" applyBorder="1" applyAlignment="1"/>
    <xf numFmtId="0" fontId="433" fillId="27" borderId="0" xfId="0" applyFont="1" applyFill="1" applyBorder="1" applyAlignment="1">
      <alignment horizontal="right"/>
    </xf>
    <xf numFmtId="0" fontId="36" fillId="27" borderId="179" xfId="0" applyFont="1" applyFill="1" applyBorder="1" applyAlignment="1">
      <alignment horizontal="left" vertical="center" indent="1"/>
    </xf>
    <xf numFmtId="0" fontId="209" fillId="27" borderId="179" xfId="0" applyFont="1" applyFill="1" applyBorder="1" applyAlignment="1">
      <alignment horizontal="left" vertical="center" indent="2"/>
    </xf>
    <xf numFmtId="0" fontId="234" fillId="9" borderId="0" xfId="0" applyFont="1" applyFill="1" applyBorder="1" applyAlignment="1">
      <alignment vertical="top"/>
    </xf>
    <xf numFmtId="14" fontId="9" fillId="4" borderId="0" xfId="0" applyNumberFormat="1" applyFont="1" applyFill="1"/>
    <xf numFmtId="0" fontId="433" fillId="27" borderId="179" xfId="0" applyFont="1" applyFill="1" applyBorder="1" applyAlignment="1">
      <alignment horizontal="left" indent="1"/>
    </xf>
    <xf numFmtId="0" fontId="234" fillId="9" borderId="0" xfId="0" applyFont="1" applyFill="1" applyBorder="1" applyAlignment="1">
      <alignment vertical="center"/>
    </xf>
    <xf numFmtId="0" fontId="234" fillId="9" borderId="0" xfId="0" applyFont="1" applyFill="1" applyBorder="1" applyAlignment="1">
      <alignment horizontal="left" vertical="center"/>
    </xf>
    <xf numFmtId="0" fontId="234" fillId="9" borderId="0" xfId="0" applyFont="1" applyFill="1" applyBorder="1" applyAlignment="1">
      <alignment horizontal="right" vertical="center"/>
    </xf>
    <xf numFmtId="167" fontId="9" fillId="4" borderId="0" xfId="5" applyNumberFormat="1" applyFont="1" applyFill="1"/>
    <xf numFmtId="0" fontId="9" fillId="4" borderId="0" xfId="0" quotePrefix="1" applyFont="1" applyFill="1" applyAlignment="1">
      <alignment horizontal="right"/>
    </xf>
    <xf numFmtId="0" fontId="445" fillId="4" borderId="0" xfId="0" applyFont="1" applyFill="1"/>
    <xf numFmtId="0" fontId="446" fillId="4" borderId="0" xfId="0" applyFont="1" applyFill="1"/>
    <xf numFmtId="167" fontId="16" fillId="4" borderId="0" xfId="0" applyNumberFormat="1" applyFont="1" applyFill="1"/>
    <xf numFmtId="0" fontId="442" fillId="27" borderId="21" xfId="0" applyFont="1" applyFill="1" applyBorder="1" applyAlignment="1">
      <alignment vertical="center"/>
    </xf>
    <xf numFmtId="0" fontId="442" fillId="27" borderId="22" xfId="0" applyFont="1" applyFill="1" applyBorder="1" applyAlignment="1">
      <alignment vertical="center"/>
    </xf>
    <xf numFmtId="0" fontId="442" fillId="27" borderId="22" xfId="0" applyFont="1" applyFill="1" applyBorder="1" applyAlignment="1">
      <alignment horizontal="right" vertical="center" indent="1"/>
    </xf>
    <xf numFmtId="44" fontId="9" fillId="4" borderId="0" xfId="0" applyNumberFormat="1" applyFont="1" applyFill="1"/>
    <xf numFmtId="44" fontId="9" fillId="4" borderId="0" xfId="0" applyNumberFormat="1" applyFont="1" applyFill="1" applyAlignment="1">
      <alignment shrinkToFit="1"/>
    </xf>
    <xf numFmtId="0" fontId="36" fillId="27" borderId="23" xfId="0" applyFont="1" applyFill="1" applyBorder="1" applyAlignment="1">
      <alignment horizontal="left" vertical="center" indent="1"/>
    </xf>
    <xf numFmtId="0" fontId="233" fillId="27" borderId="0" xfId="0" applyFont="1" applyFill="1" applyBorder="1" applyAlignment="1">
      <alignment horizontal="right" vertical="center" indent="1"/>
    </xf>
    <xf numFmtId="0" fontId="235" fillId="27" borderId="0" xfId="0" applyFont="1" applyFill="1" applyBorder="1" applyAlignment="1">
      <alignment horizontal="right" vertical="center" indent="1"/>
    </xf>
    <xf numFmtId="167" fontId="16" fillId="4" borderId="0" xfId="0" applyNumberFormat="1" applyFont="1" applyFill="1" applyAlignment="1">
      <alignment horizontal="right"/>
    </xf>
    <xf numFmtId="0" fontId="9" fillId="4" borderId="3" xfId="0" applyFont="1" applyFill="1" applyBorder="1"/>
    <xf numFmtId="0" fontId="233" fillId="27" borderId="230" xfId="0" applyFont="1" applyFill="1" applyBorder="1" applyAlignment="1">
      <alignment vertical="top" wrapText="1"/>
    </xf>
    <xf numFmtId="0" fontId="447" fillId="27" borderId="230" xfId="0" applyFont="1" applyFill="1" applyBorder="1" applyAlignment="1">
      <alignment vertical="top"/>
    </xf>
    <xf numFmtId="0" fontId="176" fillId="27" borderId="0" xfId="0" applyFont="1" applyFill="1" applyBorder="1" applyAlignment="1">
      <alignment vertical="top"/>
    </xf>
    <xf numFmtId="0" fontId="176" fillId="27" borderId="0" xfId="0" applyFont="1" applyFill="1" applyBorder="1" applyAlignment="1">
      <alignment horizontal="right" vertical="top"/>
    </xf>
    <xf numFmtId="0" fontId="352" fillId="4" borderId="0" xfId="0" applyFont="1" applyFill="1" applyAlignment="1">
      <alignment horizontal="center" vertical="center"/>
    </xf>
    <xf numFmtId="0" fontId="448" fillId="27" borderId="249" xfId="0" applyFont="1" applyFill="1" applyBorder="1" applyAlignment="1">
      <alignment horizontal="left" indent="1"/>
    </xf>
    <xf numFmtId="0" fontId="449" fillId="27" borderId="231" xfId="0" applyFont="1" applyFill="1" applyBorder="1" applyAlignment="1">
      <alignment horizontal="right"/>
    </xf>
    <xf numFmtId="0" fontId="234" fillId="51" borderId="0" xfId="0" applyFont="1" applyFill="1" applyBorder="1" applyAlignment="1">
      <alignment vertical="top"/>
    </xf>
    <xf numFmtId="0" fontId="333" fillId="9" borderId="0" xfId="0" applyFont="1" applyFill="1" applyBorder="1" applyAlignment="1">
      <alignment vertical="center"/>
    </xf>
    <xf numFmtId="0" fontId="333" fillId="51" borderId="259" xfId="0" applyFont="1" applyFill="1" applyBorder="1" applyAlignment="1">
      <alignment vertical="center"/>
    </xf>
    <xf numFmtId="0" fontId="333" fillId="51" borderId="260" xfId="0" applyFont="1" applyFill="1" applyBorder="1" applyAlignment="1">
      <alignment vertical="center"/>
    </xf>
    <xf numFmtId="0" fontId="333" fillId="51" borderId="260" xfId="0" applyFont="1" applyFill="1" applyBorder="1" applyAlignment="1">
      <alignment horizontal="right" vertical="top"/>
    </xf>
    <xf numFmtId="0" fontId="340" fillId="51" borderId="260" xfId="0" applyFont="1" applyFill="1" applyBorder="1" applyAlignment="1">
      <alignment vertical="top"/>
    </xf>
    <xf numFmtId="0" fontId="340" fillId="51" borderId="261" xfId="0" applyFont="1" applyFill="1" applyBorder="1" applyAlignment="1">
      <alignment vertical="top"/>
    </xf>
    <xf numFmtId="0" fontId="234" fillId="51" borderId="263" xfId="0" applyFont="1" applyFill="1" applyBorder="1" applyAlignment="1">
      <alignment vertical="top"/>
    </xf>
    <xf numFmtId="0" fontId="234" fillId="51" borderId="262" xfId="0" applyFont="1" applyFill="1" applyBorder="1" applyAlignment="1">
      <alignment vertical="top"/>
    </xf>
    <xf numFmtId="0" fontId="234" fillId="51" borderId="264" xfId="0" applyFont="1" applyFill="1" applyBorder="1" applyAlignment="1">
      <alignment vertical="top"/>
    </xf>
    <xf numFmtId="0" fontId="234" fillId="51" borderId="265" xfId="0" applyFont="1" applyFill="1" applyBorder="1" applyAlignment="1">
      <alignment vertical="top"/>
    </xf>
    <xf numFmtId="0" fontId="234" fillId="51" borderId="266" xfId="0" applyFont="1" applyFill="1" applyBorder="1" applyAlignment="1">
      <alignment vertical="top"/>
    </xf>
    <xf numFmtId="0" fontId="22" fillId="9" borderId="0" xfId="0" applyFont="1" applyFill="1" applyBorder="1" applyAlignment="1">
      <alignment vertical="center"/>
    </xf>
    <xf numFmtId="0" fontId="333" fillId="51" borderId="260" xfId="0" applyFont="1" applyFill="1" applyBorder="1" applyAlignment="1">
      <alignment horizontal="right" vertical="center"/>
    </xf>
    <xf numFmtId="0" fontId="340" fillId="51" borderId="260" xfId="0" applyFont="1" applyFill="1" applyBorder="1" applyAlignment="1">
      <alignment vertical="center"/>
    </xf>
    <xf numFmtId="0" fontId="16" fillId="19" borderId="0" xfId="0" applyFont="1" applyFill="1" applyAlignment="1"/>
    <xf numFmtId="0" fontId="176" fillId="4" borderId="0" xfId="0" applyFont="1" applyFill="1" applyAlignment="1">
      <alignment horizontal="center" vertical="center"/>
    </xf>
    <xf numFmtId="0" fontId="16" fillId="4" borderId="0" xfId="0" applyFont="1" applyFill="1" applyAlignment="1"/>
    <xf numFmtId="0" fontId="9" fillId="4" borderId="0" xfId="0" applyFont="1" applyFill="1" applyAlignment="1">
      <alignment horizontal="left" wrapText="1" indent="1"/>
    </xf>
    <xf numFmtId="0" fontId="450" fillId="4" borderId="0" xfId="0" applyFont="1" applyFill="1"/>
    <xf numFmtId="0" fontId="452" fillId="9" borderId="0" xfId="0" applyFont="1" applyFill="1" applyBorder="1" applyAlignment="1">
      <alignment horizontal="right" vertical="top" indent="1"/>
    </xf>
    <xf numFmtId="0" fontId="105" fillId="9" borderId="0" xfId="0" applyFont="1" applyFill="1" applyBorder="1" applyAlignment="1">
      <alignment vertical="center"/>
    </xf>
    <xf numFmtId="0" fontId="235" fillId="9" borderId="272" xfId="0" applyFont="1" applyFill="1" applyBorder="1" applyAlignment="1"/>
    <xf numFmtId="0" fontId="234" fillId="9" borderId="273" xfId="0" applyFont="1" applyFill="1" applyBorder="1" applyAlignment="1">
      <alignment vertical="top" wrapText="1"/>
    </xf>
    <xf numFmtId="0" fontId="234" fillId="9" borderId="272" xfId="0" applyFont="1" applyFill="1" applyBorder="1" applyAlignment="1">
      <alignment vertical="top" wrapText="1"/>
    </xf>
    <xf numFmtId="0" fontId="9" fillId="9" borderId="273" xfId="0" applyFont="1" applyFill="1" applyBorder="1"/>
    <xf numFmtId="0" fontId="234" fillId="9" borderId="274" xfId="0" applyFont="1" applyFill="1" applyBorder="1" applyAlignment="1">
      <alignment vertical="top" wrapText="1"/>
    </xf>
    <xf numFmtId="0" fontId="234" fillId="9" borderId="275" xfId="0" applyFont="1" applyFill="1" applyBorder="1" applyAlignment="1">
      <alignment vertical="top" wrapText="1"/>
    </xf>
    <xf numFmtId="0" fontId="234" fillId="9" borderId="276" xfId="0" applyFont="1" applyFill="1" applyBorder="1" applyAlignment="1">
      <alignment vertical="top" wrapText="1"/>
    </xf>
    <xf numFmtId="0" fontId="283" fillId="9" borderId="190" xfId="0" applyFont="1" applyFill="1" applyBorder="1" applyAlignment="1">
      <alignment vertical="top" wrapText="1"/>
    </xf>
    <xf numFmtId="0" fontId="283" fillId="9" borderId="191" xfId="0" applyFont="1" applyFill="1" applyBorder="1" applyAlignment="1">
      <alignment vertical="top" wrapText="1"/>
    </xf>
    <xf numFmtId="0" fontId="283" fillId="9" borderId="0" xfId="0" applyFont="1" applyFill="1" applyBorder="1" applyAlignment="1">
      <alignment vertical="top" wrapText="1"/>
    </xf>
    <xf numFmtId="0" fontId="283" fillId="9" borderId="193" xfId="0" applyFont="1" applyFill="1" applyBorder="1" applyAlignment="1">
      <alignment vertical="top" wrapText="1"/>
    </xf>
    <xf numFmtId="0" fontId="283" fillId="9" borderId="197" xfId="0" applyFont="1" applyFill="1" applyBorder="1" applyAlignment="1">
      <alignment vertical="top" wrapText="1"/>
    </xf>
    <xf numFmtId="0" fontId="283" fillId="9" borderId="198" xfId="0" applyFont="1" applyFill="1" applyBorder="1" applyAlignment="1">
      <alignment vertical="top" wrapText="1"/>
    </xf>
    <xf numFmtId="0" fontId="9" fillId="9" borderId="190" xfId="0" applyFont="1" applyFill="1" applyBorder="1"/>
    <xf numFmtId="0" fontId="285" fillId="9" borderId="190" xfId="0" applyFont="1" applyFill="1" applyBorder="1" applyAlignment="1">
      <alignment vertical="top" wrapText="1"/>
    </xf>
    <xf numFmtId="0" fontId="9" fillId="9" borderId="197" xfId="0" applyFont="1" applyFill="1" applyBorder="1"/>
    <xf numFmtId="0" fontId="357" fillId="9" borderId="0" xfId="0" applyFont="1" applyFill="1" applyBorder="1"/>
    <xf numFmtId="0" fontId="384" fillId="48" borderId="0" xfId="0" applyFont="1" applyFill="1" applyBorder="1" applyAlignment="1">
      <alignment vertical="center"/>
    </xf>
    <xf numFmtId="0" fontId="9" fillId="48" borderId="277" xfId="0" applyFont="1" applyFill="1" applyBorder="1" applyAlignment="1">
      <alignment vertical="center"/>
    </xf>
    <xf numFmtId="0" fontId="294" fillId="48" borderId="278" xfId="0" applyFont="1" applyFill="1" applyBorder="1" applyAlignment="1">
      <alignment vertical="center"/>
    </xf>
    <xf numFmtId="0" fontId="305" fillId="48" borderId="279" xfId="0" applyFont="1" applyFill="1" applyBorder="1" applyAlignment="1">
      <alignment vertical="center"/>
    </xf>
    <xf numFmtId="0" fontId="9" fillId="48" borderId="280" xfId="0" applyFont="1" applyFill="1" applyBorder="1" applyAlignment="1">
      <alignment vertical="center"/>
    </xf>
    <xf numFmtId="0" fontId="305" fillId="48" borderId="282" xfId="0" applyFont="1" applyFill="1" applyBorder="1" applyAlignment="1">
      <alignment vertical="center"/>
    </xf>
    <xf numFmtId="0" fontId="351" fillId="44" borderId="168" xfId="4" applyFont="1" applyFill="1" applyBorder="1" applyAlignment="1">
      <alignment horizontal="center" vertical="center"/>
    </xf>
    <xf numFmtId="0" fontId="350" fillId="59" borderId="168" xfId="0" applyFont="1" applyFill="1" applyBorder="1" applyAlignment="1">
      <alignment horizontal="center" vertical="center"/>
    </xf>
    <xf numFmtId="0" fontId="9" fillId="53" borderId="159" xfId="0" applyFont="1" applyFill="1" applyBorder="1"/>
    <xf numFmtId="0" fontId="350" fillId="59" borderId="283" xfId="0" applyFont="1" applyFill="1" applyBorder="1" applyAlignment="1">
      <alignment horizontal="center" vertical="center"/>
    </xf>
    <xf numFmtId="0" fontId="237" fillId="53" borderId="159" xfId="0" applyFont="1" applyFill="1" applyBorder="1" applyAlignment="1">
      <alignment horizontal="left" indent="1"/>
    </xf>
    <xf numFmtId="0" fontId="9" fillId="7" borderId="159" xfId="0" applyFont="1" applyFill="1" applyBorder="1"/>
    <xf numFmtId="0" fontId="9" fillId="53" borderId="284" xfId="0" applyFont="1" applyFill="1" applyBorder="1"/>
    <xf numFmtId="0" fontId="362" fillId="53" borderId="159" xfId="0" applyFont="1" applyFill="1" applyBorder="1" applyAlignment="1">
      <alignment horizontal="left" indent="1"/>
    </xf>
    <xf numFmtId="0" fontId="9" fillId="57" borderId="159" xfId="0" applyFont="1" applyFill="1" applyBorder="1"/>
    <xf numFmtId="0" fontId="179" fillId="59" borderId="161" xfId="0" applyFont="1" applyFill="1" applyBorder="1" applyAlignment="1">
      <alignment horizontal="center" vertical="center"/>
    </xf>
    <xf numFmtId="0" fontId="350" fillId="59" borderId="170" xfId="0" applyFont="1" applyFill="1" applyBorder="1" applyAlignment="1">
      <alignment horizontal="center" vertical="center"/>
    </xf>
    <xf numFmtId="0" fontId="9" fillId="53" borderId="158" xfId="0" applyFont="1" applyFill="1" applyBorder="1"/>
    <xf numFmtId="0" fontId="233" fillId="53" borderId="158" xfId="0" applyFont="1" applyFill="1" applyBorder="1" applyAlignment="1">
      <alignment vertical="center"/>
    </xf>
    <xf numFmtId="0" fontId="233" fillId="53" borderId="158" xfId="0" applyFont="1" applyFill="1" applyBorder="1" applyAlignment="1">
      <alignment vertical="top" wrapText="1"/>
    </xf>
    <xf numFmtId="0" fontId="350" fillId="59" borderId="285" xfId="0" applyFont="1" applyFill="1" applyBorder="1" applyAlignment="1">
      <alignment horizontal="center" vertical="center"/>
    </xf>
    <xf numFmtId="0" fontId="9" fillId="56" borderId="158" xfId="0" applyFont="1" applyFill="1" applyBorder="1"/>
    <xf numFmtId="0" fontId="9" fillId="53" borderId="286" xfId="0" applyFont="1" applyFill="1" applyBorder="1"/>
    <xf numFmtId="0" fontId="9" fillId="57" borderId="158" xfId="0" applyFont="1" applyFill="1" applyBorder="1"/>
    <xf numFmtId="0" fontId="157" fillId="38" borderId="0" xfId="0" applyFont="1" applyFill="1" applyBorder="1" applyAlignment="1">
      <alignment horizontal="left" vertical="top" wrapText="1"/>
    </xf>
    <xf numFmtId="0" fontId="177" fillId="9" borderId="0" xfId="4" applyFont="1" applyFill="1" applyBorder="1" applyAlignment="1">
      <alignment vertical="top" wrapText="1"/>
    </xf>
    <xf numFmtId="0" fontId="9" fillId="9" borderId="287" xfId="0" applyFont="1" applyFill="1" applyBorder="1"/>
    <xf numFmtId="0" fontId="9" fillId="9" borderId="288" xfId="0" applyFont="1" applyFill="1" applyBorder="1"/>
    <xf numFmtId="0" fontId="9" fillId="9" borderId="289" xfId="0" applyFont="1" applyFill="1" applyBorder="1"/>
    <xf numFmtId="0" fontId="9" fillId="9" borderId="290" xfId="0" applyFont="1" applyFill="1" applyBorder="1"/>
    <xf numFmtId="0" fontId="9" fillId="9" borderId="291" xfId="0" applyFont="1" applyFill="1" applyBorder="1"/>
    <xf numFmtId="0" fontId="13" fillId="12" borderId="169" xfId="0" applyFont="1" applyFill="1" applyBorder="1" applyAlignment="1">
      <alignment horizontal="left" indent="1"/>
    </xf>
    <xf numFmtId="0" fontId="179" fillId="42" borderId="292" xfId="0" applyFont="1" applyFill="1" applyBorder="1" applyAlignment="1">
      <alignment horizontal="center" vertical="center"/>
    </xf>
    <xf numFmtId="0" fontId="179" fillId="42" borderId="293" xfId="0" applyFont="1" applyFill="1" applyBorder="1" applyAlignment="1">
      <alignment horizontal="center" vertical="center"/>
    </xf>
    <xf numFmtId="0" fontId="387" fillId="48" borderId="0" xfId="0" applyFont="1" applyFill="1" applyBorder="1" applyAlignment="1">
      <alignment horizontal="center" vertical="center"/>
    </xf>
    <xf numFmtId="0" fontId="9" fillId="45" borderId="0" xfId="0" applyFont="1" applyFill="1" applyAlignment="1"/>
    <xf numFmtId="0" fontId="455" fillId="48" borderId="0" xfId="0" applyFont="1" applyFill="1" applyBorder="1" applyAlignment="1">
      <alignment horizontal="center" vertical="center"/>
    </xf>
    <xf numFmtId="0" fontId="300" fillId="44" borderId="169" xfId="0" applyFont="1" applyFill="1" applyBorder="1" applyAlignment="1">
      <alignment horizontal="left" indent="1"/>
    </xf>
    <xf numFmtId="0" fontId="239" fillId="59" borderId="169" xfId="4" applyFont="1" applyFill="1" applyBorder="1" applyAlignment="1">
      <alignment vertical="center"/>
    </xf>
    <xf numFmtId="0" fontId="321" fillId="59" borderId="169" xfId="4" applyFont="1" applyFill="1" applyBorder="1" applyAlignment="1">
      <alignment vertical="center"/>
    </xf>
    <xf numFmtId="0" fontId="321" fillId="60" borderId="161" xfId="4" applyFont="1" applyFill="1" applyBorder="1" applyAlignment="1">
      <alignment vertical="center"/>
    </xf>
    <xf numFmtId="0" fontId="318" fillId="42" borderId="161" xfId="0" applyFont="1" applyFill="1" applyBorder="1" applyAlignment="1">
      <alignment vertical="center"/>
    </xf>
    <xf numFmtId="0" fontId="348" fillId="42" borderId="0" xfId="0" applyFont="1" applyFill="1" applyBorder="1" applyAlignment="1">
      <alignment vertical="center"/>
    </xf>
    <xf numFmtId="0" fontId="240" fillId="42" borderId="0" xfId="0" applyFont="1" applyFill="1" applyBorder="1" applyAlignment="1">
      <alignment vertical="center"/>
    </xf>
    <xf numFmtId="0" fontId="455" fillId="48" borderId="281" xfId="0" applyFont="1" applyFill="1" applyBorder="1" applyAlignment="1">
      <alignment horizontal="center" vertical="center"/>
    </xf>
    <xf numFmtId="0" fontId="361" fillId="48" borderId="278" xfId="0" applyFont="1" applyFill="1" applyBorder="1" applyAlignment="1">
      <alignment horizontal="center" vertical="center"/>
    </xf>
    <xf numFmtId="0" fontId="157" fillId="48" borderId="278" xfId="0" applyFont="1" applyFill="1" applyBorder="1" applyAlignment="1">
      <alignment vertical="center"/>
    </xf>
    <xf numFmtId="0" fontId="24" fillId="4" borderId="0" xfId="0" applyFont="1" applyFill="1" applyAlignment="1">
      <alignment wrapText="1"/>
    </xf>
    <xf numFmtId="0" fontId="247" fillId="4" borderId="0" xfId="0" applyFont="1" applyFill="1" applyAlignment="1">
      <alignment wrapText="1"/>
    </xf>
    <xf numFmtId="0" fontId="366" fillId="4" borderId="0" xfId="0" applyFont="1" applyFill="1" applyAlignment="1"/>
    <xf numFmtId="0" fontId="460" fillId="65" borderId="0" xfId="0" applyFont="1" applyFill="1" applyAlignment="1">
      <alignment wrapText="1"/>
    </xf>
    <xf numFmtId="0" fontId="16" fillId="7" borderId="0" xfId="0" applyFont="1" applyFill="1"/>
    <xf numFmtId="0" fontId="9" fillId="66" borderId="0" xfId="0" applyFont="1" applyFill="1" applyAlignment="1">
      <alignment wrapText="1"/>
    </xf>
    <xf numFmtId="0" fontId="16" fillId="13" borderId="0" xfId="0" applyFont="1" applyFill="1"/>
    <xf numFmtId="0" fontId="467" fillId="9" borderId="0" xfId="0" applyFont="1" applyFill="1" applyBorder="1" applyAlignment="1">
      <alignment vertical="center"/>
    </xf>
    <xf numFmtId="0" fontId="468" fillId="9" borderId="0" xfId="0" applyFont="1" applyFill="1" applyBorder="1"/>
    <xf numFmtId="0" fontId="469" fillId="9" borderId="0" xfId="0" applyFont="1" applyFill="1" applyBorder="1" applyAlignment="1">
      <alignment vertical="center" wrapText="1"/>
    </xf>
    <xf numFmtId="0" fontId="467" fillId="9" borderId="0" xfId="0" applyFont="1" applyFill="1" applyBorder="1" applyAlignment="1">
      <alignment horizontal="left" vertical="center" indent="1"/>
    </xf>
    <xf numFmtId="0" fontId="467" fillId="9" borderId="0" xfId="0" quotePrefix="1" applyFont="1" applyFill="1" applyBorder="1" applyAlignment="1">
      <alignment vertical="center"/>
    </xf>
    <xf numFmtId="0" fontId="7" fillId="9" borderId="0" xfId="0" applyFont="1" applyFill="1" applyBorder="1"/>
    <xf numFmtId="0" fontId="233" fillId="27" borderId="179" xfId="0" applyFont="1" applyFill="1" applyBorder="1" applyAlignment="1">
      <alignment vertical="top" wrapText="1"/>
    </xf>
    <xf numFmtId="0" fontId="9" fillId="51" borderId="164" xfId="0" applyFont="1" applyFill="1" applyBorder="1"/>
    <xf numFmtId="165" fontId="471" fillId="38" borderId="0" xfId="0" applyNumberFormat="1" applyFont="1" applyFill="1" applyBorder="1" applyAlignment="1">
      <alignment horizontal="left" vertical="top" indent="1"/>
    </xf>
    <xf numFmtId="165" fontId="472" fillId="38" borderId="0" xfId="0" applyNumberFormat="1" applyFont="1" applyFill="1" applyBorder="1" applyAlignment="1">
      <alignment horizontal="left" vertical="top" indent="2"/>
    </xf>
    <xf numFmtId="0" fontId="35" fillId="19" borderId="0" xfId="0" applyFont="1" applyFill="1" applyBorder="1"/>
    <xf numFmtId="0" fontId="473" fillId="4" borderId="0" xfId="0" applyFont="1" applyFill="1"/>
    <xf numFmtId="0" fontId="152" fillId="39" borderId="169" xfId="0" applyFont="1" applyFill="1" applyBorder="1" applyAlignment="1">
      <alignment horizontal="left" vertical="center"/>
    </xf>
    <xf numFmtId="0" fontId="75" fillId="29" borderId="169" xfId="0" applyFont="1" applyFill="1" applyBorder="1" applyAlignment="1">
      <alignment horizontal="left" vertical="center"/>
    </xf>
    <xf numFmtId="0" fontId="21" fillId="8" borderId="169" xfId="0" applyFont="1" applyFill="1" applyBorder="1" applyAlignment="1">
      <alignment horizontal="left"/>
    </xf>
    <xf numFmtId="0" fontId="21" fillId="8" borderId="169" xfId="0" applyFont="1" applyFill="1" applyBorder="1" applyAlignment="1">
      <alignment horizontal="left" vertical="center"/>
    </xf>
    <xf numFmtId="0" fontId="180" fillId="8" borderId="169" xfId="0" applyFont="1" applyFill="1" applyBorder="1" applyAlignment="1">
      <alignment horizontal="left" vertical="center"/>
    </xf>
    <xf numFmtId="0" fontId="101" fillId="8" borderId="169" xfId="0" applyFont="1" applyFill="1" applyBorder="1" applyAlignment="1">
      <alignment horizontal="left" vertical="center"/>
    </xf>
    <xf numFmtId="0" fontId="176" fillId="9" borderId="0" xfId="0" applyFont="1" applyFill="1" applyBorder="1" applyAlignment="1">
      <alignment horizontal="left" vertical="top" wrapText="1"/>
    </xf>
    <xf numFmtId="0" fontId="176" fillId="9" borderId="119" xfId="0" applyFont="1" applyFill="1" applyBorder="1" applyAlignment="1">
      <alignment horizontal="left" vertical="top" wrapText="1"/>
    </xf>
    <xf numFmtId="0" fontId="114" fillId="4" borderId="6" xfId="0" applyFont="1" applyFill="1" applyBorder="1" applyAlignment="1">
      <alignment horizontal="center" vertical="center" wrapText="1"/>
    </xf>
    <xf numFmtId="0" fontId="114" fillId="4" borderId="7" xfId="0" applyFont="1" applyFill="1" applyBorder="1" applyAlignment="1">
      <alignment horizontal="center" vertical="center" wrapText="1"/>
    </xf>
    <xf numFmtId="0" fontId="114" fillId="4" borderId="11" xfId="0" applyFont="1" applyFill="1" applyBorder="1" applyAlignment="1">
      <alignment horizontal="center" vertical="center" wrapText="1"/>
    </xf>
    <xf numFmtId="0" fontId="114" fillId="4" borderId="12" xfId="0" applyFont="1" applyFill="1" applyBorder="1" applyAlignment="1">
      <alignment horizontal="center" vertical="center" wrapText="1"/>
    </xf>
    <xf numFmtId="0" fontId="212" fillId="7" borderId="114" xfId="0" applyFont="1" applyFill="1" applyBorder="1" applyAlignment="1">
      <alignment horizontal="left" vertical="center" wrapText="1" indent="3"/>
    </xf>
    <xf numFmtId="0" fontId="212" fillId="7" borderId="115" xfId="0" applyFont="1" applyFill="1" applyBorder="1" applyAlignment="1">
      <alignment horizontal="left" vertical="center" wrapText="1" indent="3"/>
    </xf>
    <xf numFmtId="0" fontId="212" fillId="7" borderId="0" xfId="0" applyFont="1" applyFill="1" applyBorder="1" applyAlignment="1">
      <alignment horizontal="left" vertical="center" wrapText="1" indent="3"/>
    </xf>
    <xf numFmtId="0" fontId="212" fillId="7" borderId="117" xfId="0" applyFont="1" applyFill="1" applyBorder="1" applyAlignment="1">
      <alignment horizontal="left" vertical="center" wrapText="1" indent="3"/>
    </xf>
    <xf numFmtId="0" fontId="212" fillId="7" borderId="119" xfId="0" applyFont="1" applyFill="1" applyBorder="1" applyAlignment="1">
      <alignment horizontal="left" vertical="center" wrapText="1" indent="3"/>
    </xf>
    <xf numFmtId="0" fontId="212" fillId="7" borderId="120" xfId="0" applyFont="1" applyFill="1" applyBorder="1" applyAlignment="1">
      <alignment horizontal="left" vertical="center" wrapText="1" indent="3"/>
    </xf>
    <xf numFmtId="0" fontId="20" fillId="7" borderId="6" xfId="0" applyFont="1" applyFill="1" applyBorder="1" applyAlignment="1">
      <alignment horizontal="right" vertical="center" wrapText="1"/>
    </xf>
    <xf numFmtId="0" fontId="20" fillId="19" borderId="6" xfId="0" applyFont="1" applyFill="1" applyBorder="1" applyAlignment="1">
      <alignment horizontal="center" vertical="center" wrapText="1"/>
    </xf>
    <xf numFmtId="0" fontId="20" fillId="35" borderId="6" xfId="0" applyFont="1" applyFill="1" applyBorder="1" applyAlignment="1">
      <alignment horizontal="left" vertical="center" wrapText="1"/>
    </xf>
    <xf numFmtId="0" fontId="9" fillId="9" borderId="0" xfId="0" applyFont="1" applyFill="1" applyBorder="1" applyAlignment="1">
      <alignment horizontal="left" vertical="top" wrapText="1"/>
    </xf>
    <xf numFmtId="0" fontId="33" fillId="20" borderId="30" xfId="0" applyFont="1" applyFill="1" applyBorder="1" applyAlignment="1">
      <alignment horizontal="center" vertical="center"/>
    </xf>
    <xf numFmtId="0" fontId="33" fillId="20" borderId="31" xfId="0" applyFont="1" applyFill="1" applyBorder="1" applyAlignment="1">
      <alignment horizontal="center" vertical="center"/>
    </xf>
    <xf numFmtId="0" fontId="105" fillId="9" borderId="0" xfId="0" applyFont="1" applyFill="1" applyBorder="1" applyAlignment="1">
      <alignment horizontal="left" vertical="center" wrapText="1"/>
    </xf>
    <xf numFmtId="0" fontId="211" fillId="9" borderId="0" xfId="0" applyFont="1" applyFill="1" applyBorder="1" applyAlignment="1">
      <alignment horizontal="left" vertical="top" wrapText="1"/>
    </xf>
    <xf numFmtId="0" fontId="211" fillId="9" borderId="9" xfId="0" applyFont="1" applyFill="1" applyBorder="1" applyAlignment="1">
      <alignment horizontal="left" vertical="top" wrapText="1"/>
    </xf>
    <xf numFmtId="0" fontId="213" fillId="31" borderId="106" xfId="0" applyFont="1" applyFill="1" applyBorder="1" applyAlignment="1">
      <alignment horizontal="left" vertical="center" wrapText="1" indent="3"/>
    </xf>
    <xf numFmtId="0" fontId="213" fillId="31" borderId="107" xfId="0" applyFont="1" applyFill="1" applyBorder="1" applyAlignment="1">
      <alignment horizontal="left" vertical="center" wrapText="1" indent="3"/>
    </xf>
    <xf numFmtId="0" fontId="213" fillId="31" borderId="0" xfId="0" applyFont="1" applyFill="1" applyBorder="1" applyAlignment="1">
      <alignment horizontal="left" vertical="center" wrapText="1" indent="3"/>
    </xf>
    <xf numFmtId="0" fontId="213" fillId="31" borderId="109" xfId="0" applyFont="1" applyFill="1" applyBorder="1" applyAlignment="1">
      <alignment horizontal="left" vertical="center" wrapText="1" indent="3"/>
    </xf>
    <xf numFmtId="0" fontId="213" fillId="31" borderId="111" xfId="0" applyFont="1" applyFill="1" applyBorder="1" applyAlignment="1">
      <alignment horizontal="left" vertical="center" wrapText="1" indent="3"/>
    </xf>
    <xf numFmtId="0" fontId="213" fillId="31" borderId="112" xfId="0" applyFont="1" applyFill="1" applyBorder="1" applyAlignment="1">
      <alignment horizontal="left" vertical="center" wrapText="1" indent="3"/>
    </xf>
    <xf numFmtId="0" fontId="12" fillId="28" borderId="169" xfId="0" applyFont="1" applyFill="1" applyBorder="1" applyAlignment="1">
      <alignment horizontal="left" vertical="center"/>
    </xf>
    <xf numFmtId="0" fontId="151" fillId="36" borderId="169" xfId="0" applyFont="1" applyFill="1" applyBorder="1" applyAlignment="1">
      <alignment horizontal="left" vertical="center"/>
    </xf>
    <xf numFmtId="0" fontId="12" fillId="2" borderId="169" xfId="0" applyFont="1" applyFill="1" applyBorder="1" applyAlignment="1">
      <alignment horizontal="left" vertical="center"/>
    </xf>
    <xf numFmtId="9" fontId="4" fillId="27" borderId="36" xfId="1" applyFont="1" applyFill="1" applyBorder="1" applyAlignment="1">
      <alignment horizontal="center" vertical="center"/>
    </xf>
    <xf numFmtId="9" fontId="4" fillId="27" borderId="37" xfId="1" applyFont="1" applyFill="1" applyBorder="1" applyAlignment="1">
      <alignment horizontal="center" vertical="center"/>
    </xf>
    <xf numFmtId="0" fontId="176" fillId="9" borderId="0" xfId="0" applyFont="1" applyFill="1" applyBorder="1" applyAlignment="1">
      <alignment horizontal="left" vertical="center" wrapText="1"/>
    </xf>
    <xf numFmtId="0" fontId="5" fillId="4" borderId="5" xfId="0" applyFont="1" applyFill="1" applyBorder="1" applyAlignment="1">
      <alignment horizontal="center" vertical="center" wrapText="1"/>
    </xf>
    <xf numFmtId="0" fontId="5" fillId="4" borderId="6" xfId="0" applyFont="1" applyFill="1" applyBorder="1" applyAlignment="1">
      <alignment horizontal="center" vertical="center" wrapText="1"/>
    </xf>
    <xf numFmtId="0" fontId="5" fillId="4" borderId="7" xfId="0" applyFont="1" applyFill="1" applyBorder="1" applyAlignment="1">
      <alignment horizontal="center" vertical="center" wrapText="1"/>
    </xf>
    <xf numFmtId="0" fontId="5" fillId="4" borderId="8" xfId="0" applyFont="1" applyFill="1" applyBorder="1" applyAlignment="1">
      <alignment horizontal="center" vertical="center" wrapText="1"/>
    </xf>
    <xf numFmtId="0" fontId="5" fillId="4" borderId="0" xfId="0" applyFont="1" applyFill="1" applyBorder="1" applyAlignment="1">
      <alignment horizontal="center" vertical="center" wrapText="1"/>
    </xf>
    <xf numFmtId="0" fontId="5" fillId="4" borderId="9" xfId="0" applyFont="1" applyFill="1" applyBorder="1" applyAlignment="1">
      <alignment horizontal="center" vertical="center" wrapText="1"/>
    </xf>
    <xf numFmtId="0" fontId="5" fillId="4" borderId="10" xfId="0" applyFont="1" applyFill="1" applyBorder="1" applyAlignment="1">
      <alignment horizontal="center" vertical="center" wrapText="1"/>
    </xf>
    <xf numFmtId="0" fontId="5" fillId="4" borderId="11" xfId="0" applyFont="1" applyFill="1" applyBorder="1" applyAlignment="1">
      <alignment horizontal="center" vertical="center" wrapText="1"/>
    </xf>
    <xf numFmtId="0" fontId="5" fillId="4" borderId="12" xfId="0" applyFont="1" applyFill="1" applyBorder="1" applyAlignment="1">
      <alignment horizontal="center" vertical="center" wrapText="1"/>
    </xf>
    <xf numFmtId="9" fontId="4" fillId="27" borderId="42" xfId="1" applyFont="1" applyFill="1" applyBorder="1" applyAlignment="1">
      <alignment horizontal="center" vertical="center"/>
    </xf>
    <xf numFmtId="9" fontId="4" fillId="27" borderId="43" xfId="1" applyFont="1" applyFill="1" applyBorder="1" applyAlignment="1">
      <alignment horizontal="center" vertical="center"/>
    </xf>
    <xf numFmtId="0" fontId="69" fillId="32" borderId="0" xfId="0" applyFont="1" applyFill="1" applyBorder="1" applyAlignment="1">
      <alignment horizontal="center" vertical="center"/>
    </xf>
    <xf numFmtId="0" fontId="74" fillId="24" borderId="0" xfId="0" applyFont="1" applyFill="1" applyBorder="1" applyAlignment="1">
      <alignment horizontal="center" vertical="center"/>
    </xf>
    <xf numFmtId="0" fontId="204" fillId="10" borderId="0" xfId="0" applyFont="1" applyFill="1" applyBorder="1" applyAlignment="1">
      <alignment horizontal="left" vertical="top" wrapText="1"/>
    </xf>
    <xf numFmtId="0" fontId="9" fillId="4" borderId="21" xfId="0" applyFont="1" applyFill="1" applyBorder="1" applyAlignment="1">
      <alignment horizontal="center" vertical="center"/>
    </xf>
    <xf numFmtId="0" fontId="9" fillId="4" borderId="23" xfId="0" applyFont="1" applyFill="1" applyBorder="1" applyAlignment="1">
      <alignment horizontal="center" vertical="center"/>
    </xf>
    <xf numFmtId="0" fontId="184" fillId="19" borderId="0" xfId="0" applyFont="1" applyFill="1" applyBorder="1" applyAlignment="1">
      <alignment horizontal="left" vertical="top" wrapText="1"/>
    </xf>
    <xf numFmtId="0" fontId="11" fillId="4" borderId="22" xfId="0" applyFont="1" applyFill="1" applyBorder="1" applyAlignment="1">
      <alignment horizontal="center" vertical="center"/>
    </xf>
    <xf numFmtId="0" fontId="11" fillId="4" borderId="23" xfId="0" applyFont="1" applyFill="1" applyBorder="1" applyAlignment="1">
      <alignment horizontal="center" vertical="center"/>
    </xf>
    <xf numFmtId="0" fontId="214" fillId="26" borderId="0" xfId="0" applyFont="1" applyFill="1" applyBorder="1" applyAlignment="1">
      <alignment horizontal="left" vertical="center" wrapText="1"/>
    </xf>
    <xf numFmtId="9" fontId="4" fillId="27" borderId="38" xfId="1" applyFont="1" applyFill="1" applyBorder="1" applyAlignment="1">
      <alignment horizontal="center" vertical="center"/>
    </xf>
    <xf numFmtId="9" fontId="4" fillId="27" borderId="39" xfId="1" applyFont="1" applyFill="1" applyBorder="1" applyAlignment="1">
      <alignment horizontal="center" vertical="center"/>
    </xf>
    <xf numFmtId="9" fontId="4" fillId="27" borderId="44" xfId="1" applyFont="1" applyFill="1" applyBorder="1" applyAlignment="1">
      <alignment horizontal="center" vertical="center"/>
    </xf>
    <xf numFmtId="9" fontId="4" fillId="27" borderId="45" xfId="1" applyFont="1" applyFill="1" applyBorder="1" applyAlignment="1">
      <alignment horizontal="center" vertical="center"/>
    </xf>
    <xf numFmtId="0" fontId="201" fillId="19" borderId="0" xfId="0" applyFont="1" applyFill="1" applyBorder="1" applyAlignment="1">
      <alignment horizontal="left" vertical="top" wrapText="1"/>
    </xf>
    <xf numFmtId="0" fontId="202" fillId="32" borderId="0" xfId="0" applyFont="1" applyFill="1" applyBorder="1" applyAlignment="1">
      <alignment horizontal="center" vertical="center" wrapText="1"/>
    </xf>
    <xf numFmtId="0" fontId="203" fillId="32" borderId="0" xfId="0" applyFont="1" applyFill="1" applyBorder="1" applyAlignment="1">
      <alignment horizontal="center" vertical="center" wrapText="1"/>
    </xf>
    <xf numFmtId="0" fontId="202" fillId="10" borderId="0" xfId="0" applyFont="1" applyFill="1" applyBorder="1" applyAlignment="1">
      <alignment horizontal="center" vertical="center" wrapText="1"/>
    </xf>
    <xf numFmtId="0" fontId="133" fillId="19" borderId="0" xfId="0" applyFont="1" applyFill="1" applyBorder="1" applyAlignment="1">
      <alignment horizontal="center" vertical="center"/>
    </xf>
    <xf numFmtId="0" fontId="135" fillId="19" borderId="134" xfId="0" applyFont="1" applyFill="1" applyBorder="1" applyAlignment="1">
      <alignment horizontal="center" vertical="center"/>
    </xf>
    <xf numFmtId="0" fontId="135" fillId="19" borderId="135" xfId="0" applyFont="1" applyFill="1" applyBorder="1" applyAlignment="1">
      <alignment horizontal="center" vertical="center"/>
    </xf>
    <xf numFmtId="0" fontId="135" fillId="19" borderId="136" xfId="0" applyFont="1" applyFill="1" applyBorder="1" applyAlignment="1">
      <alignment horizontal="center" vertical="center"/>
    </xf>
    <xf numFmtId="0" fontId="135" fillId="19" borderId="137" xfId="0" applyFont="1" applyFill="1" applyBorder="1" applyAlignment="1">
      <alignment horizontal="center" vertical="center"/>
    </xf>
    <xf numFmtId="0" fontId="135" fillId="19" borderId="0" xfId="0" applyFont="1" applyFill="1" applyBorder="1" applyAlignment="1">
      <alignment horizontal="center" vertical="center"/>
    </xf>
    <xf numFmtId="0" fontId="135" fillId="19" borderId="138" xfId="0" applyFont="1" applyFill="1" applyBorder="1" applyAlignment="1">
      <alignment horizontal="center" vertical="center"/>
    </xf>
    <xf numFmtId="0" fontId="135" fillId="19" borderId="139" xfId="0" applyFont="1" applyFill="1" applyBorder="1" applyAlignment="1">
      <alignment horizontal="center" vertical="center"/>
    </xf>
    <xf numFmtId="0" fontId="135" fillId="19" borderId="140" xfId="0" applyFont="1" applyFill="1" applyBorder="1" applyAlignment="1">
      <alignment horizontal="center" vertical="center"/>
    </xf>
    <xf numFmtId="0" fontId="135" fillId="19" borderId="141" xfId="0" applyFont="1" applyFill="1" applyBorder="1" applyAlignment="1">
      <alignment horizontal="center" vertical="center"/>
    </xf>
    <xf numFmtId="0" fontId="30" fillId="19" borderId="0" xfId="0" applyFont="1" applyFill="1" applyBorder="1" applyAlignment="1">
      <alignment horizontal="left" vertical="top" wrapText="1"/>
    </xf>
    <xf numFmtId="0" fontId="149" fillId="32" borderId="168" xfId="0" applyFont="1" applyFill="1" applyBorder="1" applyAlignment="1">
      <alignment horizontal="center" vertical="top"/>
    </xf>
    <xf numFmtId="0" fontId="149" fillId="32" borderId="169" xfId="0" applyFont="1" applyFill="1" applyBorder="1" applyAlignment="1">
      <alignment horizontal="center" vertical="top"/>
    </xf>
    <xf numFmtId="0" fontId="149" fillId="32" borderId="170" xfId="0" applyFont="1" applyFill="1" applyBorder="1" applyAlignment="1">
      <alignment horizontal="center" vertical="top"/>
    </xf>
    <xf numFmtId="0" fontId="149" fillId="32" borderId="159" xfId="0" applyFont="1" applyFill="1" applyBorder="1" applyAlignment="1">
      <alignment horizontal="center" vertical="top"/>
    </xf>
    <xf numFmtId="0" fontId="149" fillId="32" borderId="0" xfId="0" applyFont="1" applyFill="1" applyBorder="1" applyAlignment="1">
      <alignment horizontal="center" vertical="top"/>
    </xf>
    <xf numFmtId="0" fontId="149" fillId="32" borderId="158" xfId="0" applyFont="1" applyFill="1" applyBorder="1" applyAlignment="1">
      <alignment horizontal="center" vertical="top"/>
    </xf>
    <xf numFmtId="0" fontId="174" fillId="32" borderId="159" xfId="0" applyFont="1" applyFill="1" applyBorder="1" applyAlignment="1">
      <alignment horizontal="center" vertical="top" wrapText="1"/>
    </xf>
    <xf numFmtId="0" fontId="174" fillId="32" borderId="0" xfId="0" applyFont="1" applyFill="1" applyBorder="1" applyAlignment="1">
      <alignment horizontal="center" vertical="top" wrapText="1"/>
    </xf>
    <xf numFmtId="0" fontId="174" fillId="32" borderId="158" xfId="0" applyFont="1" applyFill="1" applyBorder="1" applyAlignment="1">
      <alignment horizontal="center" vertical="top" wrapText="1"/>
    </xf>
    <xf numFmtId="0" fontId="105" fillId="19" borderId="0" xfId="0" applyFont="1" applyFill="1" applyBorder="1" applyAlignment="1">
      <alignment horizontal="left" vertical="center" wrapText="1"/>
    </xf>
    <xf numFmtId="9" fontId="4" fillId="27" borderId="34" xfId="1" applyFont="1" applyFill="1" applyBorder="1" applyAlignment="1">
      <alignment horizontal="center" vertical="center"/>
    </xf>
    <xf numFmtId="9" fontId="4" fillId="27" borderId="35" xfId="1" applyFont="1" applyFill="1" applyBorder="1" applyAlignment="1">
      <alignment horizontal="center" vertical="center"/>
    </xf>
    <xf numFmtId="9" fontId="4" fillId="27" borderId="40" xfId="1" applyFont="1" applyFill="1" applyBorder="1" applyAlignment="1">
      <alignment horizontal="center" vertical="center"/>
    </xf>
    <xf numFmtId="9" fontId="4" fillId="27" borderId="41" xfId="1" applyFont="1" applyFill="1" applyBorder="1" applyAlignment="1">
      <alignment horizontal="center" vertical="center"/>
    </xf>
    <xf numFmtId="0" fontId="185" fillId="19" borderId="0" xfId="0" applyFont="1" applyFill="1" applyBorder="1" applyAlignment="1">
      <alignment horizontal="left" vertical="center" wrapText="1"/>
    </xf>
    <xf numFmtId="0" fontId="105" fillId="4" borderId="99" xfId="0" applyFont="1" applyFill="1" applyBorder="1" applyAlignment="1">
      <alignment horizontal="left" vertical="center" wrapText="1" indent="1"/>
    </xf>
    <xf numFmtId="0" fontId="105" fillId="4" borderId="100" xfId="0" applyFont="1" applyFill="1" applyBorder="1" applyAlignment="1">
      <alignment horizontal="left" vertical="center" wrapText="1" indent="1"/>
    </xf>
    <xf numFmtId="0" fontId="105" fillId="4" borderId="101" xfId="0" applyFont="1" applyFill="1" applyBorder="1" applyAlignment="1">
      <alignment horizontal="left" vertical="center" wrapText="1" indent="1"/>
    </xf>
    <xf numFmtId="0" fontId="105" fillId="4" borderId="102" xfId="0" applyFont="1" applyFill="1" applyBorder="1" applyAlignment="1">
      <alignment horizontal="left" vertical="center" wrapText="1" indent="1"/>
    </xf>
    <xf numFmtId="0" fontId="105" fillId="4" borderId="103" xfId="0" applyFont="1" applyFill="1" applyBorder="1" applyAlignment="1">
      <alignment horizontal="left" vertical="center" wrapText="1" indent="1"/>
    </xf>
    <xf numFmtId="0" fontId="105" fillId="4" borderId="104" xfId="0" applyFont="1" applyFill="1" applyBorder="1" applyAlignment="1">
      <alignment horizontal="left" vertical="center" wrapText="1" indent="1"/>
    </xf>
    <xf numFmtId="0" fontId="119" fillId="19" borderId="0" xfId="0" applyFont="1" applyFill="1" applyBorder="1" applyAlignment="1">
      <alignment horizontal="left" vertical="top" wrapText="1"/>
    </xf>
    <xf numFmtId="0" fontId="91" fillId="19" borderId="0" xfId="0" applyFont="1" applyFill="1" applyBorder="1" applyAlignment="1">
      <alignment horizontal="center" vertical="top" wrapText="1"/>
    </xf>
    <xf numFmtId="0" fontId="91" fillId="19" borderId="19" xfId="0" applyFont="1" applyFill="1" applyBorder="1" applyAlignment="1">
      <alignment horizontal="center" vertical="top" wrapText="1"/>
    </xf>
    <xf numFmtId="0" fontId="91" fillId="19" borderId="0" xfId="0" applyFont="1" applyFill="1" applyBorder="1" applyAlignment="1">
      <alignment horizontal="center" vertical="center"/>
    </xf>
    <xf numFmtId="0" fontId="119" fillId="4" borderId="14" xfId="0" applyFont="1" applyFill="1" applyBorder="1" applyAlignment="1">
      <alignment horizontal="center" vertical="center" shrinkToFit="1"/>
    </xf>
    <xf numFmtId="0" fontId="119" fillId="4" borderId="15" xfId="0" applyFont="1" applyFill="1" applyBorder="1" applyAlignment="1">
      <alignment horizontal="center" vertical="center" shrinkToFit="1"/>
    </xf>
    <xf numFmtId="0" fontId="119" fillId="4" borderId="16" xfId="0" applyFont="1" applyFill="1" applyBorder="1" applyAlignment="1">
      <alignment horizontal="center" vertical="center" shrinkToFit="1"/>
    </xf>
    <xf numFmtId="0" fontId="119" fillId="4" borderId="18" xfId="0" applyFont="1" applyFill="1" applyBorder="1" applyAlignment="1">
      <alignment horizontal="center" vertical="center" shrinkToFit="1"/>
    </xf>
    <xf numFmtId="0" fontId="119" fillId="4" borderId="19" xfId="0" applyFont="1" applyFill="1" applyBorder="1" applyAlignment="1">
      <alignment horizontal="center" vertical="center" shrinkToFit="1"/>
    </xf>
    <xf numFmtId="0" fontId="119" fillId="4" borderId="20" xfId="0" applyFont="1" applyFill="1" applyBorder="1" applyAlignment="1">
      <alignment horizontal="center" vertical="center" shrinkToFit="1"/>
    </xf>
    <xf numFmtId="0" fontId="186" fillId="19" borderId="0" xfId="0" applyFont="1" applyFill="1" applyBorder="1" applyAlignment="1">
      <alignment horizontal="left" wrapText="1" indent="1"/>
    </xf>
    <xf numFmtId="0" fontId="116" fillId="26" borderId="0" xfId="0" applyFont="1" applyFill="1" applyBorder="1" applyAlignment="1">
      <alignment horizontal="left" vertical="top" wrapText="1"/>
    </xf>
    <xf numFmtId="0" fontId="89" fillId="4" borderId="3" xfId="0" applyFont="1" applyFill="1" applyBorder="1" applyAlignment="1">
      <alignment horizontal="center" vertical="center"/>
    </xf>
    <xf numFmtId="0" fontId="89" fillId="4" borderId="13" xfId="0" applyFont="1" applyFill="1" applyBorder="1" applyAlignment="1">
      <alignment horizontal="center" vertical="center"/>
    </xf>
    <xf numFmtId="0" fontId="89" fillId="4" borderId="4" xfId="0" applyFont="1" applyFill="1" applyBorder="1" applyAlignment="1">
      <alignment horizontal="center" vertical="center"/>
    </xf>
    <xf numFmtId="0" fontId="121" fillId="7" borderId="0" xfId="0" applyFont="1" applyFill="1" applyBorder="1" applyAlignment="1">
      <alignment horizontal="right" vertical="center" wrapText="1" indent="1"/>
    </xf>
    <xf numFmtId="0" fontId="124" fillId="7" borderId="63" xfId="0" applyFont="1" applyFill="1" applyBorder="1" applyAlignment="1">
      <alignment horizontal="center" vertical="center"/>
    </xf>
    <xf numFmtId="0" fontId="124" fillId="7" borderId="64" xfId="0" applyFont="1" applyFill="1" applyBorder="1" applyAlignment="1">
      <alignment horizontal="center" vertical="center"/>
    </xf>
    <xf numFmtId="0" fontId="124" fillId="7" borderId="65" xfId="0" applyFont="1" applyFill="1" applyBorder="1" applyAlignment="1">
      <alignment horizontal="center" vertical="center"/>
    </xf>
    <xf numFmtId="0" fontId="50" fillId="7" borderId="66" xfId="0" applyFont="1" applyFill="1" applyBorder="1" applyAlignment="1">
      <alignment horizontal="center" vertical="top"/>
    </xf>
    <xf numFmtId="0" fontId="50" fillId="7" borderId="67" xfId="0" applyFont="1" applyFill="1" applyBorder="1" applyAlignment="1">
      <alignment horizontal="center" vertical="top"/>
    </xf>
    <xf numFmtId="0" fontId="50" fillId="7" borderId="68" xfId="0" applyFont="1" applyFill="1" applyBorder="1" applyAlignment="1">
      <alignment horizontal="center" vertical="top"/>
    </xf>
    <xf numFmtId="0" fontId="96" fillId="19" borderId="0" xfId="0" applyFont="1" applyFill="1" applyBorder="1" applyAlignment="1">
      <alignment horizontal="center"/>
    </xf>
    <xf numFmtId="0" fontId="128" fillId="32" borderId="0" xfId="0" applyFont="1" applyFill="1" applyBorder="1" applyAlignment="1">
      <alignment horizontal="center" vertical="center" wrapText="1"/>
    </xf>
    <xf numFmtId="0" fontId="129" fillId="10" borderId="0" xfId="0" applyFont="1" applyFill="1" applyBorder="1" applyAlignment="1">
      <alignment horizontal="center" vertical="center" wrapText="1"/>
    </xf>
    <xf numFmtId="0" fontId="134" fillId="4" borderId="75" xfId="0" applyFont="1" applyFill="1" applyBorder="1" applyAlignment="1">
      <alignment horizontal="center" vertical="center" wrapText="1"/>
    </xf>
    <xf numFmtId="0" fontId="134" fillId="4" borderId="76" xfId="0" applyFont="1" applyFill="1" applyBorder="1" applyAlignment="1">
      <alignment horizontal="center" vertical="center" wrapText="1"/>
    </xf>
    <xf numFmtId="0" fontId="134" fillId="4" borderId="79" xfId="0" applyFont="1" applyFill="1" applyBorder="1" applyAlignment="1">
      <alignment horizontal="center" vertical="center" wrapText="1"/>
    </xf>
    <xf numFmtId="0" fontId="134" fillId="4" borderId="85" xfId="0" applyFont="1" applyFill="1" applyBorder="1" applyAlignment="1">
      <alignment horizontal="center" vertical="center" wrapText="1"/>
    </xf>
    <xf numFmtId="0" fontId="134" fillId="4" borderId="1" xfId="0" applyFont="1" applyFill="1" applyBorder="1" applyAlignment="1">
      <alignment horizontal="center" vertical="center" wrapText="1"/>
    </xf>
    <xf numFmtId="0" fontId="134" fillId="4" borderId="88" xfId="0" applyFont="1" applyFill="1" applyBorder="1" applyAlignment="1">
      <alignment horizontal="center" vertical="center" wrapText="1"/>
    </xf>
    <xf numFmtId="0" fontId="105" fillId="19" borderId="0" xfId="0" applyFont="1" applyFill="1" applyBorder="1" applyAlignment="1">
      <alignment horizontal="left" vertical="top" wrapText="1"/>
    </xf>
    <xf numFmtId="0" fontId="105" fillId="19" borderId="0" xfId="0" applyFont="1" applyFill="1" applyBorder="1" applyAlignment="1">
      <alignment horizontal="center" vertical="center" wrapText="1"/>
    </xf>
    <xf numFmtId="0" fontId="47" fillId="9" borderId="0" xfId="0" applyFont="1" applyFill="1" applyBorder="1" applyAlignment="1">
      <alignment horizontal="left"/>
    </xf>
    <xf numFmtId="0" fontId="30" fillId="4" borderId="5" xfId="0" applyFont="1" applyFill="1" applyBorder="1" applyAlignment="1">
      <alignment horizontal="center" vertical="center" wrapText="1"/>
    </xf>
    <xf numFmtId="0" fontId="30" fillId="4" borderId="6" xfId="0" applyFont="1" applyFill="1" applyBorder="1" applyAlignment="1">
      <alignment horizontal="center" vertical="center" wrapText="1"/>
    </xf>
    <xf numFmtId="0" fontId="30" fillId="4" borderId="7" xfId="0" applyFont="1" applyFill="1" applyBorder="1" applyAlignment="1">
      <alignment horizontal="center" vertical="center" wrapText="1"/>
    </xf>
    <xf numFmtId="0" fontId="30" fillId="4" borderId="10" xfId="0" applyFont="1" applyFill="1" applyBorder="1" applyAlignment="1">
      <alignment horizontal="center" vertical="center" wrapText="1"/>
    </xf>
    <xf numFmtId="0" fontId="30" fillId="4" borderId="11" xfId="0" applyFont="1" applyFill="1" applyBorder="1" applyAlignment="1">
      <alignment horizontal="center" vertical="center" wrapText="1"/>
    </xf>
    <xf numFmtId="0" fontId="30" fillId="4" borderId="12" xfId="0" applyFont="1" applyFill="1" applyBorder="1" applyAlignment="1">
      <alignment horizontal="center" vertical="center" wrapText="1"/>
    </xf>
    <xf numFmtId="0" fontId="114" fillId="4" borderId="5" xfId="0" applyFont="1" applyFill="1" applyBorder="1" applyAlignment="1">
      <alignment horizontal="center" vertical="center" wrapText="1"/>
    </xf>
    <xf numFmtId="0" fontId="114" fillId="4" borderId="10" xfId="0" applyFont="1" applyFill="1" applyBorder="1" applyAlignment="1">
      <alignment horizontal="center" vertical="center" wrapText="1"/>
    </xf>
    <xf numFmtId="0" fontId="98" fillId="4" borderId="75" xfId="0" applyFont="1" applyFill="1" applyBorder="1" applyAlignment="1">
      <alignment horizontal="center"/>
    </xf>
    <xf numFmtId="0" fontId="98" fillId="4" borderId="76" xfId="0" applyFont="1" applyFill="1" applyBorder="1" applyAlignment="1">
      <alignment horizontal="center"/>
    </xf>
    <xf numFmtId="0" fontId="98" fillId="4" borderId="79" xfId="0" applyFont="1" applyFill="1" applyBorder="1" applyAlignment="1">
      <alignment horizontal="center"/>
    </xf>
    <xf numFmtId="0" fontId="98" fillId="4" borderId="80" xfId="0" applyFont="1" applyFill="1" applyBorder="1" applyAlignment="1">
      <alignment horizontal="center"/>
    </xf>
    <xf numFmtId="0" fontId="98" fillId="4" borderId="0" xfId="0" applyFont="1" applyFill="1" applyBorder="1" applyAlignment="1">
      <alignment horizontal="center"/>
    </xf>
    <xf numFmtId="0" fontId="98" fillId="4" borderId="2" xfId="0" applyFont="1" applyFill="1" applyBorder="1" applyAlignment="1">
      <alignment horizontal="center"/>
    </xf>
    <xf numFmtId="0" fontId="98" fillId="4" borderId="85" xfId="0" applyFont="1" applyFill="1" applyBorder="1" applyAlignment="1">
      <alignment horizontal="center"/>
    </xf>
    <xf numFmtId="0" fontId="98" fillId="4" borderId="1" xfId="0" applyFont="1" applyFill="1" applyBorder="1" applyAlignment="1">
      <alignment horizontal="center"/>
    </xf>
    <xf numFmtId="0" fontId="98" fillId="4" borderId="88" xfId="0" applyFont="1" applyFill="1" applyBorder="1" applyAlignment="1">
      <alignment horizontal="center"/>
    </xf>
    <xf numFmtId="0" fontId="17" fillId="35" borderId="132" xfId="0" applyFont="1" applyFill="1" applyBorder="1" applyAlignment="1">
      <alignment horizontal="right" vertical="center" wrapText="1" indent="1"/>
    </xf>
    <xf numFmtId="0" fontId="17" fillId="35" borderId="133" xfId="0" applyFont="1" applyFill="1" applyBorder="1" applyAlignment="1">
      <alignment horizontal="right" vertical="center" wrapText="1" indent="1"/>
    </xf>
    <xf numFmtId="0" fontId="110" fillId="7" borderId="54" xfId="0" applyFont="1" applyFill="1" applyBorder="1" applyAlignment="1">
      <alignment horizontal="center" vertical="center" wrapText="1"/>
    </xf>
    <xf numFmtId="0" fontId="110" fillId="7" borderId="55" xfId="0" applyFont="1" applyFill="1" applyBorder="1" applyAlignment="1">
      <alignment horizontal="center" vertical="center" wrapText="1"/>
    </xf>
    <xf numFmtId="0" fontId="110" fillId="7" borderId="56" xfId="0" applyFont="1" applyFill="1" applyBorder="1" applyAlignment="1">
      <alignment horizontal="center" vertical="center" wrapText="1"/>
    </xf>
    <xf numFmtId="0" fontId="110" fillId="7" borderId="57" xfId="0" applyFont="1" applyFill="1" applyBorder="1" applyAlignment="1">
      <alignment horizontal="center" vertical="center" wrapText="1"/>
    </xf>
    <xf numFmtId="0" fontId="110" fillId="7" borderId="58" xfId="0" applyFont="1" applyFill="1" applyBorder="1" applyAlignment="1">
      <alignment horizontal="center" vertical="center" wrapText="1"/>
    </xf>
    <xf numFmtId="0" fontId="110" fillId="7" borderId="59" xfId="0" applyFont="1" applyFill="1" applyBorder="1" applyAlignment="1">
      <alignment horizontal="center" vertical="center" wrapText="1"/>
    </xf>
    <xf numFmtId="0" fontId="9" fillId="9" borderId="29" xfId="0" applyFont="1" applyFill="1" applyBorder="1" applyAlignment="1">
      <alignment horizontal="left"/>
    </xf>
    <xf numFmtId="0" fontId="36" fillId="15" borderId="27" xfId="0" applyFont="1" applyFill="1" applyBorder="1" applyAlignment="1">
      <alignment horizontal="center" vertical="center" wrapText="1"/>
    </xf>
    <xf numFmtId="0" fontId="36" fillId="15" borderId="28" xfId="0" applyFont="1" applyFill="1" applyBorder="1" applyAlignment="1">
      <alignment horizontal="center" vertical="center" wrapText="1"/>
    </xf>
    <xf numFmtId="0" fontId="36" fillId="14" borderId="27" xfId="0" applyFont="1" applyFill="1" applyBorder="1" applyAlignment="1">
      <alignment horizontal="center" vertical="center" wrapText="1"/>
    </xf>
    <xf numFmtId="0" fontId="36" fillId="14" borderId="28" xfId="0" applyFont="1" applyFill="1" applyBorder="1" applyAlignment="1">
      <alignment horizontal="center" vertical="center" wrapText="1"/>
    </xf>
    <xf numFmtId="0" fontId="36" fillId="7" borderId="27" xfId="0" applyFont="1" applyFill="1" applyBorder="1" applyAlignment="1">
      <alignment horizontal="center" vertical="center" wrapText="1"/>
    </xf>
    <xf numFmtId="0" fontId="36" fillId="7" borderId="28" xfId="0" applyFont="1" applyFill="1" applyBorder="1" applyAlignment="1">
      <alignment horizontal="center" vertical="center" wrapText="1"/>
    </xf>
    <xf numFmtId="0" fontId="36" fillId="13" borderId="27" xfId="0" applyFont="1" applyFill="1" applyBorder="1" applyAlignment="1">
      <alignment horizontal="center" vertical="center" wrapText="1"/>
    </xf>
    <xf numFmtId="0" fontId="36" fillId="13" borderId="28" xfId="0" applyFont="1" applyFill="1" applyBorder="1" applyAlignment="1">
      <alignment horizontal="center" vertical="center" wrapText="1"/>
    </xf>
    <xf numFmtId="0" fontId="36" fillId="21" borderId="27" xfId="0" applyFont="1" applyFill="1" applyBorder="1" applyAlignment="1">
      <alignment horizontal="center" vertical="center" wrapText="1"/>
    </xf>
    <xf numFmtId="0" fontId="36" fillId="21" borderId="28" xfId="0" applyFont="1" applyFill="1" applyBorder="1" applyAlignment="1">
      <alignment horizontal="center" vertical="center" wrapText="1"/>
    </xf>
    <xf numFmtId="0" fontId="36" fillId="16" borderId="27" xfId="0" applyFont="1" applyFill="1" applyBorder="1" applyAlignment="1">
      <alignment horizontal="center" vertical="center" wrapText="1"/>
    </xf>
    <xf numFmtId="0" fontId="36" fillId="16" borderId="28" xfId="0" applyFont="1" applyFill="1" applyBorder="1" applyAlignment="1">
      <alignment horizontal="center" vertical="center" wrapText="1"/>
    </xf>
    <xf numFmtId="0" fontId="109" fillId="35" borderId="122" xfId="0" applyFont="1" applyFill="1" applyBorder="1" applyAlignment="1">
      <alignment horizontal="center" vertical="center" wrapText="1"/>
    </xf>
    <xf numFmtId="0" fontId="109" fillId="35" borderId="123" xfId="0" applyFont="1" applyFill="1" applyBorder="1" applyAlignment="1">
      <alignment horizontal="center" vertical="center" wrapText="1"/>
    </xf>
    <xf numFmtId="0" fontId="109" fillId="35" borderId="57" xfId="0" applyFont="1" applyFill="1" applyBorder="1" applyAlignment="1">
      <alignment horizontal="center" vertical="center" wrapText="1"/>
    </xf>
    <xf numFmtId="0" fontId="109" fillId="35" borderId="124" xfId="0" applyFont="1" applyFill="1" applyBorder="1" applyAlignment="1">
      <alignment horizontal="center" vertical="center" wrapText="1"/>
    </xf>
    <xf numFmtId="0" fontId="109" fillId="35" borderId="125" xfId="0" applyFont="1" applyFill="1" applyBorder="1" applyAlignment="1">
      <alignment horizontal="center" vertical="center" wrapText="1"/>
    </xf>
    <xf numFmtId="0" fontId="109" fillId="35" borderId="126" xfId="0" applyFont="1" applyFill="1" applyBorder="1" applyAlignment="1">
      <alignment horizontal="center" vertical="center" wrapText="1"/>
    </xf>
    <xf numFmtId="0" fontId="18" fillId="18" borderId="61" xfId="0" applyFont="1" applyFill="1" applyBorder="1" applyAlignment="1">
      <alignment horizontal="center" vertical="center" wrapText="1"/>
    </xf>
    <xf numFmtId="0" fontId="18" fillId="18" borderId="62" xfId="0" applyFont="1" applyFill="1" applyBorder="1" applyAlignment="1">
      <alignment horizontal="center" vertical="center" wrapText="1"/>
    </xf>
    <xf numFmtId="0" fontId="208" fillId="20" borderId="8" xfId="0" applyFont="1" applyFill="1" applyBorder="1" applyAlignment="1">
      <alignment horizontal="center" vertical="center" wrapText="1" shrinkToFit="1"/>
    </xf>
    <xf numFmtId="0" fontId="208" fillId="20" borderId="9" xfId="0" applyFont="1" applyFill="1" applyBorder="1" applyAlignment="1">
      <alignment horizontal="center" vertical="center" wrapText="1" shrinkToFit="1"/>
    </xf>
    <xf numFmtId="0" fontId="208" fillId="20" borderId="10" xfId="0" applyFont="1" applyFill="1" applyBorder="1" applyAlignment="1">
      <alignment horizontal="center" vertical="center" wrapText="1" shrinkToFit="1"/>
    </xf>
    <xf numFmtId="0" fontId="208" fillId="20" borderId="12" xfId="0" applyFont="1" applyFill="1" applyBorder="1" applyAlignment="1">
      <alignment horizontal="center" vertical="center" wrapText="1" shrinkToFit="1"/>
    </xf>
    <xf numFmtId="0" fontId="122" fillId="31" borderId="0" xfId="0" applyFont="1" applyFill="1" applyBorder="1" applyAlignment="1">
      <alignment horizontal="left" vertical="center" wrapText="1" indent="1"/>
    </xf>
    <xf numFmtId="0" fontId="86" fillId="9" borderId="0" xfId="0" applyFont="1" applyFill="1" applyBorder="1" applyAlignment="1">
      <alignment horizontal="center"/>
    </xf>
    <xf numFmtId="0" fontId="199" fillId="9" borderId="0" xfId="0" applyFont="1" applyFill="1" applyBorder="1" applyAlignment="1">
      <alignment horizontal="center"/>
    </xf>
    <xf numFmtId="0" fontId="103" fillId="7" borderId="0" xfId="0" applyFont="1" applyFill="1" applyBorder="1" applyAlignment="1">
      <alignment horizontal="right" vertical="center" wrapText="1"/>
    </xf>
    <xf numFmtId="0" fontId="104" fillId="31" borderId="0" xfId="0" applyFont="1" applyFill="1" applyBorder="1" applyAlignment="1">
      <alignment horizontal="left" vertical="center" wrapText="1"/>
    </xf>
    <xf numFmtId="0" fontId="89" fillId="9" borderId="0" xfId="0" applyFont="1" applyFill="1" applyBorder="1" applyAlignment="1">
      <alignment horizontal="left" vertical="top" wrapText="1"/>
    </xf>
    <xf numFmtId="0" fontId="86" fillId="7" borderId="0" xfId="0" applyFont="1" applyFill="1" applyBorder="1" applyAlignment="1">
      <alignment horizontal="center"/>
    </xf>
    <xf numFmtId="0" fontId="199" fillId="31" borderId="0" xfId="0" applyFont="1" applyFill="1" applyBorder="1" applyAlignment="1">
      <alignment horizontal="center"/>
    </xf>
    <xf numFmtId="0" fontId="87" fillId="31" borderId="0" xfId="0" applyFont="1" applyFill="1" applyBorder="1" applyAlignment="1">
      <alignment horizontal="center"/>
    </xf>
    <xf numFmtId="0" fontId="138" fillId="9" borderId="0" xfId="0" applyFont="1" applyFill="1" applyBorder="1" applyAlignment="1">
      <alignment horizontal="left" vertical="top" wrapText="1"/>
    </xf>
    <xf numFmtId="0" fontId="138" fillId="9" borderId="9" xfId="0" applyFont="1" applyFill="1" applyBorder="1" applyAlignment="1">
      <alignment horizontal="left" vertical="top" wrapText="1"/>
    </xf>
    <xf numFmtId="0" fontId="107" fillId="35" borderId="122" xfId="3" applyFont="1" applyFill="1" applyBorder="1" applyAlignment="1">
      <alignment horizontal="center" vertical="center" wrapText="1"/>
    </xf>
    <xf numFmtId="0" fontId="107" fillId="35" borderId="123" xfId="3" applyFont="1" applyFill="1" applyBorder="1" applyAlignment="1">
      <alignment horizontal="center" vertical="center" wrapText="1"/>
    </xf>
    <xf numFmtId="0" fontId="107" fillId="35" borderId="57" xfId="3" applyFont="1" applyFill="1" applyBorder="1" applyAlignment="1">
      <alignment horizontal="center" vertical="center" wrapText="1"/>
    </xf>
    <xf numFmtId="0" fontId="107" fillId="35" borderId="124" xfId="3" applyFont="1" applyFill="1" applyBorder="1" applyAlignment="1">
      <alignment horizontal="center" vertical="center" wrapText="1"/>
    </xf>
    <xf numFmtId="0" fontId="107" fillId="35" borderId="125" xfId="3" applyFont="1" applyFill="1" applyBorder="1" applyAlignment="1">
      <alignment horizontal="center" vertical="center" wrapText="1"/>
    </xf>
    <xf numFmtId="0" fontId="107" fillId="35" borderId="126" xfId="3" applyFont="1" applyFill="1" applyBorder="1" applyAlignment="1">
      <alignment horizontal="center" vertical="center" wrapText="1"/>
    </xf>
    <xf numFmtId="0" fontId="76" fillId="9" borderId="0" xfId="0" quotePrefix="1" applyFont="1" applyFill="1" applyBorder="1" applyAlignment="1">
      <alignment horizontal="center" vertical="center"/>
    </xf>
    <xf numFmtId="0" fontId="41" fillId="9" borderId="0" xfId="0" applyFont="1" applyFill="1" applyBorder="1" applyAlignment="1">
      <alignment horizontal="right"/>
    </xf>
    <xf numFmtId="0" fontId="48" fillId="9" borderId="0" xfId="0" applyFont="1" applyFill="1" applyBorder="1" applyAlignment="1">
      <alignment horizontal="center" vertical="center"/>
    </xf>
    <xf numFmtId="0" fontId="17" fillId="7" borderId="52" xfId="0" applyFont="1" applyFill="1" applyBorder="1" applyAlignment="1">
      <alignment horizontal="left" vertical="center" wrapText="1" indent="1"/>
    </xf>
    <xf numFmtId="0" fontId="17" fillId="7" borderId="53" xfId="0" applyFont="1" applyFill="1" applyBorder="1" applyAlignment="1">
      <alignment horizontal="left" vertical="center" wrapText="1" indent="1"/>
    </xf>
    <xf numFmtId="0" fontId="17" fillId="7" borderId="53" xfId="0" applyFont="1" applyFill="1" applyBorder="1" applyAlignment="1">
      <alignment horizontal="right" vertical="center" wrapText="1" indent="1"/>
    </xf>
    <xf numFmtId="0" fontId="17" fillId="35" borderId="131" xfId="0" applyFont="1" applyFill="1" applyBorder="1" applyAlignment="1">
      <alignment horizontal="left" vertical="center" wrapText="1" indent="1"/>
    </xf>
    <xf numFmtId="0" fontId="17" fillId="35" borderId="132" xfId="0" applyFont="1" applyFill="1" applyBorder="1" applyAlignment="1">
      <alignment horizontal="left" vertical="center" wrapText="1" indent="1"/>
    </xf>
    <xf numFmtId="0" fontId="6" fillId="7" borderId="49" xfId="0" applyFont="1" applyFill="1" applyBorder="1" applyAlignment="1">
      <alignment horizontal="center" vertical="center" shrinkToFit="1"/>
    </xf>
    <xf numFmtId="0" fontId="6" fillId="7" borderId="50" xfId="0" applyFont="1" applyFill="1" applyBorder="1" applyAlignment="1">
      <alignment horizontal="center" vertical="center" shrinkToFit="1"/>
    </xf>
    <xf numFmtId="0" fontId="80" fillId="14" borderId="80" xfId="0" applyFont="1" applyFill="1" applyBorder="1" applyAlignment="1">
      <alignment horizontal="left" wrapText="1" indent="1"/>
    </xf>
    <xf numFmtId="0" fontId="80" fillId="14" borderId="0" xfId="0" applyFont="1" applyFill="1" applyBorder="1" applyAlignment="1">
      <alignment horizontal="left" wrapText="1" indent="1"/>
    </xf>
    <xf numFmtId="0" fontId="80" fillId="14" borderId="32" xfId="0" applyFont="1" applyFill="1" applyBorder="1" applyAlignment="1">
      <alignment horizontal="left" wrapText="1" indent="1"/>
    </xf>
    <xf numFmtId="0" fontId="81" fillId="16" borderId="80" xfId="0" applyFont="1" applyFill="1" applyBorder="1" applyAlignment="1">
      <alignment horizontal="left" wrapText="1" indent="1"/>
    </xf>
    <xf numFmtId="0" fontId="81" fillId="16" borderId="0" xfId="0" applyFont="1" applyFill="1" applyBorder="1" applyAlignment="1">
      <alignment horizontal="left" wrapText="1" indent="1"/>
    </xf>
    <xf numFmtId="0" fontId="81" fillId="16" borderId="32" xfId="0" applyFont="1" applyFill="1" applyBorder="1" applyAlignment="1">
      <alignment horizontal="left" wrapText="1" indent="1"/>
    </xf>
    <xf numFmtId="0" fontId="80" fillId="14" borderId="33" xfId="0" applyFont="1" applyFill="1" applyBorder="1" applyAlignment="1">
      <alignment horizontal="right" wrapText="1" indent="1"/>
    </xf>
    <xf numFmtId="0" fontId="80" fillId="14" borderId="0" xfId="0" applyFont="1" applyFill="1" applyBorder="1" applyAlignment="1">
      <alignment horizontal="right" wrapText="1" indent="1"/>
    </xf>
    <xf numFmtId="0" fontId="80" fillId="14" borderId="2" xfId="0" applyFont="1" applyFill="1" applyBorder="1" applyAlignment="1">
      <alignment horizontal="right" wrapText="1" indent="1"/>
    </xf>
    <xf numFmtId="0" fontId="81" fillId="16" borderId="33" xfId="0" applyFont="1" applyFill="1" applyBorder="1" applyAlignment="1">
      <alignment horizontal="right" wrapText="1" indent="1"/>
    </xf>
    <xf numFmtId="0" fontId="81" fillId="16" borderId="0" xfId="0" applyFont="1" applyFill="1" applyBorder="1" applyAlignment="1">
      <alignment horizontal="right" wrapText="1" indent="1"/>
    </xf>
    <xf numFmtId="0" fontId="81" fillId="16" borderId="2" xfId="0" applyFont="1" applyFill="1" applyBorder="1" applyAlignment="1">
      <alignment horizontal="right" wrapText="1" indent="1"/>
    </xf>
    <xf numFmtId="0" fontId="81" fillId="14" borderId="33" xfId="0" applyFont="1" applyFill="1" applyBorder="1" applyAlignment="1">
      <alignment horizontal="right" wrapText="1" indent="1"/>
    </xf>
    <xf numFmtId="0" fontId="81" fillId="14" borderId="0" xfId="0" applyFont="1" applyFill="1" applyBorder="1" applyAlignment="1">
      <alignment horizontal="right" wrapText="1" indent="1"/>
    </xf>
    <xf numFmtId="0" fontId="81" fillId="14" borderId="2" xfId="0" applyFont="1" applyFill="1" applyBorder="1" applyAlignment="1">
      <alignment horizontal="right" wrapText="1" indent="1"/>
    </xf>
    <xf numFmtId="0" fontId="9" fillId="21" borderId="25" xfId="0" applyFont="1" applyFill="1" applyBorder="1" applyAlignment="1">
      <alignment horizontal="center" vertical="center"/>
    </xf>
    <xf numFmtId="0" fontId="9" fillId="21" borderId="26" xfId="0" applyFont="1" applyFill="1" applyBorder="1" applyAlignment="1">
      <alignment horizontal="center" vertical="center"/>
    </xf>
    <xf numFmtId="0" fontId="9" fillId="16" borderId="25" xfId="0" applyFont="1" applyFill="1" applyBorder="1" applyAlignment="1">
      <alignment horizontal="center" vertical="center"/>
    </xf>
    <xf numFmtId="0" fontId="9" fillId="16" borderId="26" xfId="0" applyFont="1" applyFill="1" applyBorder="1" applyAlignment="1">
      <alignment horizontal="center" vertical="center"/>
    </xf>
    <xf numFmtId="0" fontId="19" fillId="18" borderId="5" xfId="0" applyFont="1" applyFill="1" applyBorder="1" applyAlignment="1">
      <alignment horizontal="center" vertical="center"/>
    </xf>
    <xf numFmtId="0" fontId="19" fillId="18" borderId="7" xfId="0" applyFont="1" applyFill="1" applyBorder="1" applyAlignment="1">
      <alignment horizontal="center" vertical="center"/>
    </xf>
    <xf numFmtId="0" fontId="139" fillId="9" borderId="0" xfId="0" applyFont="1" applyFill="1" applyBorder="1" applyAlignment="1">
      <alignment horizontal="left" vertical="top" wrapText="1"/>
    </xf>
    <xf numFmtId="0" fontId="9" fillId="15" borderId="25" xfId="0" applyFont="1" applyFill="1" applyBorder="1" applyAlignment="1">
      <alignment horizontal="center" vertical="center"/>
    </xf>
    <xf numFmtId="0" fontId="9" fillId="15" borderId="26" xfId="0" applyFont="1" applyFill="1" applyBorder="1" applyAlignment="1">
      <alignment horizontal="center" vertical="center"/>
    </xf>
    <xf numFmtId="0" fontId="9" fillId="14" borderId="25" xfId="0" applyFont="1" applyFill="1" applyBorder="1" applyAlignment="1">
      <alignment horizontal="center" vertical="center"/>
    </xf>
    <xf numFmtId="0" fontId="9" fillId="14" borderId="26" xfId="0" applyFont="1" applyFill="1" applyBorder="1" applyAlignment="1">
      <alignment horizontal="center" vertical="center"/>
    </xf>
    <xf numFmtId="0" fontId="9" fillId="7" borderId="25" xfId="0" applyFont="1" applyFill="1" applyBorder="1" applyAlignment="1">
      <alignment horizontal="center" vertical="center"/>
    </xf>
    <xf numFmtId="0" fontId="9" fillId="7" borderId="26" xfId="0" applyFont="1" applyFill="1" applyBorder="1" applyAlignment="1">
      <alignment horizontal="center" vertical="center"/>
    </xf>
    <xf numFmtId="0" fontId="150" fillId="37" borderId="152" xfId="0" applyFont="1" applyFill="1" applyBorder="1" applyAlignment="1">
      <alignment horizontal="left"/>
    </xf>
    <xf numFmtId="0" fontId="150" fillId="37" borderId="153" xfId="0" applyFont="1" applyFill="1" applyBorder="1" applyAlignment="1">
      <alignment horizontal="left"/>
    </xf>
    <xf numFmtId="0" fontId="72" fillId="41" borderId="0" xfId="0" applyFont="1" applyFill="1" applyBorder="1" applyAlignment="1">
      <alignment horizontal="center" vertical="center" wrapText="1"/>
    </xf>
    <xf numFmtId="0" fontId="72" fillId="32" borderId="159" xfId="0" applyFont="1" applyFill="1" applyBorder="1" applyAlignment="1">
      <alignment horizontal="center" vertical="center" wrapText="1"/>
    </xf>
    <xf numFmtId="0" fontId="72" fillId="32" borderId="0" xfId="0" applyFont="1" applyFill="1" applyBorder="1" applyAlignment="1">
      <alignment horizontal="center" vertical="center" wrapText="1"/>
    </xf>
    <xf numFmtId="0" fontId="72" fillId="32" borderId="158" xfId="0" applyFont="1" applyFill="1" applyBorder="1" applyAlignment="1">
      <alignment horizontal="center" vertical="center" wrapText="1"/>
    </xf>
    <xf numFmtId="0" fontId="16" fillId="40" borderId="150" xfId="0" applyFont="1" applyFill="1" applyBorder="1" applyAlignment="1">
      <alignment horizontal="left" vertical="center"/>
    </xf>
    <xf numFmtId="0" fontId="150" fillId="37" borderId="144" xfId="0" applyFont="1" applyFill="1" applyBorder="1" applyAlignment="1">
      <alignment horizontal="left"/>
    </xf>
    <xf numFmtId="0" fontId="150" fillId="37" borderId="145" xfId="0" applyFont="1" applyFill="1" applyBorder="1" applyAlignment="1">
      <alignment horizontal="left"/>
    </xf>
    <xf numFmtId="0" fontId="16" fillId="40" borderId="0" xfId="0" applyFont="1" applyFill="1" applyBorder="1" applyAlignment="1">
      <alignment horizontal="left" vertical="center"/>
    </xf>
    <xf numFmtId="0" fontId="16" fillId="37" borderId="0" xfId="0" applyFont="1" applyFill="1" applyBorder="1" applyAlignment="1">
      <alignment horizontal="left" vertical="center"/>
    </xf>
    <xf numFmtId="0" fontId="6" fillId="35" borderId="128" xfId="0" applyFont="1" applyFill="1" applyBorder="1" applyAlignment="1">
      <alignment horizontal="center" vertical="center" shrinkToFit="1"/>
    </xf>
    <xf numFmtId="0" fontId="6" fillId="35" borderId="129" xfId="0" applyFont="1" applyFill="1" applyBorder="1" applyAlignment="1">
      <alignment horizontal="center" vertical="center" shrinkToFit="1"/>
    </xf>
    <xf numFmtId="0" fontId="6" fillId="7" borderId="0" xfId="0" applyFont="1" applyFill="1" applyBorder="1" applyAlignment="1">
      <alignment horizontal="center" vertical="center" shrinkToFit="1"/>
    </xf>
    <xf numFmtId="0" fontId="6" fillId="35" borderId="60" xfId="0" applyFont="1" applyFill="1" applyBorder="1" applyAlignment="1">
      <alignment horizontal="center" vertical="center" shrinkToFit="1"/>
    </xf>
    <xf numFmtId="0" fontId="6" fillId="35" borderId="0" xfId="0" applyFont="1" applyFill="1" applyBorder="1" applyAlignment="1">
      <alignment horizontal="center" vertical="center" shrinkToFit="1"/>
    </xf>
    <xf numFmtId="0" fontId="110" fillId="7" borderId="49" xfId="0" applyFont="1" applyFill="1" applyBorder="1" applyAlignment="1">
      <alignment horizontal="center" vertical="center" wrapText="1"/>
    </xf>
    <xf numFmtId="0" fontId="110" fillId="7" borderId="50" xfId="0" applyFont="1" applyFill="1" applyBorder="1" applyAlignment="1">
      <alignment horizontal="center" vertical="center" wrapText="1"/>
    </xf>
    <xf numFmtId="0" fontId="110" fillId="7" borderId="96" xfId="0" applyFont="1" applyFill="1" applyBorder="1" applyAlignment="1">
      <alignment horizontal="center" vertical="center" wrapText="1"/>
    </xf>
    <xf numFmtId="0" fontId="110" fillId="7" borderId="51" xfId="0" applyFont="1" applyFill="1" applyBorder="1" applyAlignment="1">
      <alignment horizontal="center" vertical="center" wrapText="1"/>
    </xf>
    <xf numFmtId="0" fontId="110" fillId="7" borderId="0" xfId="0" applyFont="1" applyFill="1" applyBorder="1" applyAlignment="1">
      <alignment horizontal="center" vertical="center" wrapText="1"/>
    </xf>
    <xf numFmtId="0" fontId="110" fillId="7" borderId="97" xfId="0" applyFont="1" applyFill="1" applyBorder="1" applyAlignment="1">
      <alignment horizontal="center" vertical="center" wrapText="1"/>
    </xf>
    <xf numFmtId="0" fontId="110" fillId="7" borderId="52" xfId="0" applyFont="1" applyFill="1" applyBorder="1" applyAlignment="1">
      <alignment horizontal="center" vertical="center" wrapText="1"/>
    </xf>
    <xf numFmtId="0" fontId="110" fillId="7" borderId="53" xfId="0" applyFont="1" applyFill="1" applyBorder="1" applyAlignment="1">
      <alignment horizontal="center" vertical="center" wrapText="1"/>
    </xf>
    <xf numFmtId="0" fontId="110" fillId="7" borderId="98" xfId="0" applyFont="1" applyFill="1" applyBorder="1" applyAlignment="1">
      <alignment horizontal="center" vertical="center" wrapText="1"/>
    </xf>
    <xf numFmtId="0" fontId="62" fillId="32" borderId="0" xfId="0" applyFont="1" applyFill="1" applyBorder="1" applyAlignment="1">
      <alignment horizontal="center" vertical="center"/>
    </xf>
    <xf numFmtId="0" fontId="66" fillId="32" borderId="0" xfId="0" applyFont="1" applyFill="1" applyBorder="1" applyAlignment="1">
      <alignment horizontal="center" vertical="center"/>
    </xf>
    <xf numFmtId="0" fontId="32" fillId="4" borderId="46" xfId="0" applyFont="1" applyFill="1" applyBorder="1" applyAlignment="1">
      <alignment horizontal="center" vertical="center"/>
    </xf>
    <xf numFmtId="0" fontId="32" fillId="4" borderId="47" xfId="0" applyFont="1" applyFill="1" applyBorder="1" applyAlignment="1">
      <alignment horizontal="center" vertical="center"/>
    </xf>
    <xf numFmtId="0" fontId="32" fillId="4" borderId="48" xfId="0" applyFont="1" applyFill="1" applyBorder="1" applyAlignment="1">
      <alignment horizontal="center" vertical="center"/>
    </xf>
    <xf numFmtId="0" fontId="77" fillId="9" borderId="0" xfId="0" quotePrefix="1" applyFont="1" applyFill="1" applyBorder="1" applyAlignment="1">
      <alignment horizontal="center" vertical="center"/>
    </xf>
    <xf numFmtId="0" fontId="16" fillId="37" borderId="150" xfId="0" applyFont="1" applyFill="1" applyBorder="1" applyAlignment="1">
      <alignment horizontal="left" vertical="center"/>
    </xf>
    <xf numFmtId="0" fontId="61" fillId="32" borderId="168" xfId="0" applyFont="1" applyFill="1" applyBorder="1" applyAlignment="1">
      <alignment horizontal="center" vertical="center"/>
    </xf>
    <xf numFmtId="0" fontId="61" fillId="32" borderId="169" xfId="0" applyFont="1" applyFill="1" applyBorder="1" applyAlignment="1">
      <alignment horizontal="center" vertical="center"/>
    </xf>
    <xf numFmtId="0" fontId="61" fillId="32" borderId="170" xfId="0" applyFont="1" applyFill="1" applyBorder="1" applyAlignment="1">
      <alignment horizontal="center" vertical="center"/>
    </xf>
    <xf numFmtId="0" fontId="61" fillId="32" borderId="159" xfId="0" applyFont="1" applyFill="1" applyBorder="1" applyAlignment="1">
      <alignment horizontal="center" vertical="center"/>
    </xf>
    <xf numFmtId="0" fontId="61" fillId="32" borderId="0" xfId="0" applyFont="1" applyFill="1" applyBorder="1" applyAlignment="1">
      <alignment horizontal="center" vertical="center"/>
    </xf>
    <xf numFmtId="0" fontId="61" fillId="32" borderId="158" xfId="0" applyFont="1" applyFill="1" applyBorder="1" applyAlignment="1">
      <alignment horizontal="center" vertical="center"/>
    </xf>
    <xf numFmtId="0" fontId="9" fillId="26" borderId="158" xfId="0" applyFont="1" applyFill="1" applyBorder="1" applyAlignment="1">
      <alignment horizontal="center"/>
    </xf>
    <xf numFmtId="0" fontId="106" fillId="26" borderId="0" xfId="0" applyFont="1" applyFill="1" applyBorder="1" applyAlignment="1">
      <alignment horizontal="left" vertical="center"/>
    </xf>
    <xf numFmtId="0" fontId="30" fillId="23" borderId="89" xfId="0" applyFont="1" applyFill="1" applyBorder="1" applyAlignment="1">
      <alignment horizontal="center" vertical="center" wrapText="1"/>
    </xf>
    <xf numFmtId="0" fontId="30" fillId="23" borderId="90" xfId="0" applyFont="1" applyFill="1" applyBorder="1" applyAlignment="1">
      <alignment horizontal="center" vertical="center" wrapText="1"/>
    </xf>
    <xf numFmtId="0" fontId="30" fillId="23" borderId="91" xfId="0" applyFont="1" applyFill="1" applyBorder="1" applyAlignment="1">
      <alignment horizontal="center" vertical="center" wrapText="1"/>
    </xf>
    <xf numFmtId="0" fontId="30" fillId="31" borderId="89" xfId="0" applyFont="1" applyFill="1" applyBorder="1" applyAlignment="1">
      <alignment horizontal="center" vertical="center" wrapText="1"/>
    </xf>
    <xf numFmtId="0" fontId="30" fillId="31" borderId="90" xfId="0" applyFont="1" applyFill="1" applyBorder="1" applyAlignment="1">
      <alignment horizontal="center" vertical="center" wrapText="1"/>
    </xf>
    <xf numFmtId="0" fontId="30" fillId="31" borderId="91" xfId="0" applyFont="1" applyFill="1" applyBorder="1" applyAlignment="1">
      <alignment horizontal="center" vertical="center" wrapText="1"/>
    </xf>
    <xf numFmtId="0" fontId="11" fillId="4" borderId="92" xfId="0" applyFont="1" applyFill="1" applyBorder="1" applyAlignment="1">
      <alignment horizontal="center" vertical="center"/>
    </xf>
    <xf numFmtId="0" fontId="11" fillId="4" borderId="6" xfId="0" applyFont="1" applyFill="1" applyBorder="1" applyAlignment="1">
      <alignment horizontal="center" vertical="center"/>
    </xf>
    <xf numFmtId="0" fontId="11" fillId="4" borderId="93" xfId="0" applyFont="1" applyFill="1" applyBorder="1" applyAlignment="1">
      <alignment horizontal="center" vertical="center"/>
    </xf>
    <xf numFmtId="0" fontId="11" fillId="4" borderId="94" xfId="0" applyFont="1" applyFill="1" applyBorder="1" applyAlignment="1">
      <alignment horizontal="center" vertical="center"/>
    </xf>
    <xf numFmtId="0" fontId="11" fillId="4" borderId="11" xfId="0" applyFont="1" applyFill="1" applyBorder="1" applyAlignment="1">
      <alignment horizontal="center" vertical="center"/>
    </xf>
    <xf numFmtId="0" fontId="11" fillId="4" borderId="95" xfId="0" applyFont="1" applyFill="1" applyBorder="1" applyAlignment="1">
      <alignment horizontal="center" vertical="center"/>
    </xf>
    <xf numFmtId="0" fontId="10" fillId="19" borderId="6" xfId="0" applyFont="1" applyFill="1" applyBorder="1" applyAlignment="1">
      <alignment horizontal="center" vertical="center"/>
    </xf>
    <xf numFmtId="0" fontId="10" fillId="19" borderId="7" xfId="0" applyFont="1" applyFill="1" applyBorder="1" applyAlignment="1">
      <alignment horizontal="center" vertical="center"/>
    </xf>
    <xf numFmtId="0" fontId="10" fillId="19" borderId="11" xfId="0" applyFont="1" applyFill="1" applyBorder="1" applyAlignment="1">
      <alignment horizontal="center" vertical="center"/>
    </xf>
    <xf numFmtId="0" fontId="10" fillId="19" borderId="12" xfId="0" applyFont="1" applyFill="1" applyBorder="1" applyAlignment="1">
      <alignment horizontal="center" vertical="center"/>
    </xf>
    <xf numFmtId="0" fontId="30" fillId="22" borderId="0" xfId="0" applyFont="1" applyFill="1" applyBorder="1" applyAlignment="1">
      <alignment horizontal="left" vertical="center" wrapText="1" indent="2"/>
    </xf>
    <xf numFmtId="0" fontId="96" fillId="26" borderId="0" xfId="0" applyFont="1" applyFill="1" applyBorder="1" applyAlignment="1">
      <alignment horizontal="center"/>
    </xf>
    <xf numFmtId="0" fontId="97" fillId="26" borderId="0" xfId="0" applyFont="1" applyFill="1" applyBorder="1" applyAlignment="1">
      <alignment horizontal="center" vertical="center"/>
    </xf>
    <xf numFmtId="0" fontId="16" fillId="4" borderId="75" xfId="0" applyFont="1" applyFill="1" applyBorder="1" applyAlignment="1">
      <alignment horizontal="center" vertical="center" wrapText="1"/>
    </xf>
    <xf numFmtId="0" fontId="16" fillId="4" borderId="76" xfId="0" applyFont="1" applyFill="1" applyBorder="1" applyAlignment="1">
      <alignment horizontal="center" vertical="center" wrapText="1"/>
    </xf>
    <xf numFmtId="0" fontId="16" fillId="4" borderId="79" xfId="0" applyFont="1" applyFill="1" applyBorder="1" applyAlignment="1">
      <alignment horizontal="center" vertical="center" wrapText="1"/>
    </xf>
    <xf numFmtId="0" fontId="16" fillId="4" borderId="85" xfId="0" applyFont="1" applyFill="1" applyBorder="1" applyAlignment="1">
      <alignment horizontal="center" vertical="center" wrapText="1"/>
    </xf>
    <xf numFmtId="0" fontId="16" fillId="4" borderId="1" xfId="0" applyFont="1" applyFill="1" applyBorder="1" applyAlignment="1">
      <alignment horizontal="center" vertical="center" wrapText="1"/>
    </xf>
    <xf numFmtId="0" fontId="16" fillId="4" borderId="88" xfId="0" applyFont="1" applyFill="1" applyBorder="1" applyAlignment="1">
      <alignment horizontal="center" vertical="center" wrapText="1"/>
    </xf>
    <xf numFmtId="0" fontId="182" fillId="19" borderId="0" xfId="0" applyFont="1" applyFill="1" applyBorder="1" applyAlignment="1">
      <alignment horizontal="center" vertical="center" wrapText="1"/>
    </xf>
    <xf numFmtId="0" fontId="183" fillId="9" borderId="0" xfId="0" applyFont="1" applyFill="1" applyBorder="1" applyAlignment="1">
      <alignment horizontal="center" vertical="center" wrapText="1"/>
    </xf>
    <xf numFmtId="0" fontId="9" fillId="26" borderId="159" xfId="0" applyFont="1" applyFill="1" applyBorder="1" applyAlignment="1">
      <alignment horizontal="center"/>
    </xf>
    <xf numFmtId="0" fontId="172" fillId="26" borderId="0" xfId="0" applyFont="1" applyFill="1" applyBorder="1" applyAlignment="1">
      <alignment horizontal="center" vertical="center" wrapText="1"/>
    </xf>
    <xf numFmtId="0" fontId="12" fillId="33" borderId="169" xfId="0" applyFont="1" applyFill="1" applyBorder="1" applyAlignment="1">
      <alignment horizontal="left" vertical="center"/>
    </xf>
    <xf numFmtId="0" fontId="30" fillId="26" borderId="0" xfId="0" applyFont="1" applyFill="1" applyBorder="1" applyAlignment="1">
      <alignment horizontal="left" vertical="center" wrapText="1" indent="2"/>
    </xf>
    <xf numFmtId="0" fontId="10" fillId="19" borderId="5" xfId="0" applyFont="1" applyFill="1" applyBorder="1" applyAlignment="1">
      <alignment horizontal="center" vertical="center"/>
    </xf>
    <xf numFmtId="0" fontId="10" fillId="19" borderId="10" xfId="0" applyFont="1" applyFill="1" applyBorder="1" applyAlignment="1">
      <alignment horizontal="center" vertical="center"/>
    </xf>
    <xf numFmtId="0" fontId="30" fillId="3" borderId="0" xfId="0" applyFont="1" applyFill="1" applyBorder="1" applyAlignment="1">
      <alignment horizontal="left" vertical="center" wrapText="1" indent="2"/>
    </xf>
    <xf numFmtId="0" fontId="30" fillId="5" borderId="0" xfId="0" applyFont="1" applyFill="1" applyBorder="1" applyAlignment="1">
      <alignment horizontal="left" vertical="center" wrapText="1" indent="2"/>
    </xf>
    <xf numFmtId="0" fontId="92" fillId="19" borderId="15" xfId="0" applyFont="1" applyFill="1" applyBorder="1" applyAlignment="1">
      <alignment horizontal="center" vertical="center"/>
    </xf>
    <xf numFmtId="0" fontId="11" fillId="4" borderId="21" xfId="0" applyFont="1" applyFill="1" applyBorder="1" applyAlignment="1">
      <alignment horizontal="center" vertical="center"/>
    </xf>
    <xf numFmtId="0" fontId="11" fillId="4" borderId="121" xfId="0" applyFont="1" applyFill="1" applyBorder="1" applyAlignment="1">
      <alignment horizontal="center" vertical="center"/>
    </xf>
    <xf numFmtId="0" fontId="118" fillId="26" borderId="0" xfId="0" applyFont="1" applyFill="1" applyBorder="1" applyAlignment="1">
      <alignment horizontal="center" vertical="center" wrapText="1"/>
    </xf>
    <xf numFmtId="0" fontId="120" fillId="26" borderId="0" xfId="0" applyFont="1" applyFill="1" applyBorder="1" applyAlignment="1">
      <alignment horizontal="center" vertical="center" wrapText="1"/>
    </xf>
    <xf numFmtId="0" fontId="89" fillId="26" borderId="0" xfId="0" applyFont="1" applyFill="1" applyBorder="1" applyAlignment="1">
      <alignment horizontal="left" vertical="center" wrapText="1"/>
    </xf>
    <xf numFmtId="0" fontId="9" fillId="9" borderId="29" xfId="0" applyFont="1" applyFill="1" applyBorder="1" applyAlignment="1">
      <alignment horizontal="right"/>
    </xf>
    <xf numFmtId="0" fontId="80" fillId="16" borderId="33" xfId="0" applyFont="1" applyFill="1" applyBorder="1" applyAlignment="1">
      <alignment horizontal="right" wrapText="1" indent="1"/>
    </xf>
    <xf numFmtId="0" fontId="80" fillId="16" borderId="0" xfId="0" applyFont="1" applyFill="1" applyBorder="1" applyAlignment="1">
      <alignment horizontal="right" wrapText="1" indent="1"/>
    </xf>
    <xf numFmtId="0" fontId="80" fillId="16" borderId="2" xfId="0" applyFont="1" applyFill="1" applyBorder="1" applyAlignment="1">
      <alignment horizontal="right" wrapText="1" indent="1"/>
    </xf>
    <xf numFmtId="0" fontId="81" fillId="14" borderId="80" xfId="0" applyFont="1" applyFill="1" applyBorder="1" applyAlignment="1">
      <alignment horizontal="left" wrapText="1" indent="1"/>
    </xf>
    <xf numFmtId="0" fontId="81" fillId="14" borderId="0" xfId="0" applyFont="1" applyFill="1" applyBorder="1" applyAlignment="1">
      <alignment horizontal="left" wrapText="1" indent="1"/>
    </xf>
    <xf numFmtId="0" fontId="81" fillId="14" borderId="32" xfId="0" applyFont="1" applyFill="1" applyBorder="1" applyAlignment="1">
      <alignment horizontal="left" wrapText="1" indent="1"/>
    </xf>
    <xf numFmtId="0" fontId="80" fillId="16" borderId="80" xfId="0" applyFont="1" applyFill="1" applyBorder="1" applyAlignment="1">
      <alignment horizontal="left" wrapText="1" indent="1"/>
    </xf>
    <xf numFmtId="0" fontId="80" fillId="16" borderId="0" xfId="0" applyFont="1" applyFill="1" applyBorder="1" applyAlignment="1">
      <alignment horizontal="left" wrapText="1" indent="1"/>
    </xf>
    <xf numFmtId="0" fontId="80" fillId="16" borderId="32" xfId="0" applyFont="1" applyFill="1" applyBorder="1" applyAlignment="1">
      <alignment horizontal="left" wrapText="1" indent="1"/>
    </xf>
    <xf numFmtId="0" fontId="9" fillId="13" borderId="25" xfId="0" applyFont="1" applyFill="1" applyBorder="1" applyAlignment="1">
      <alignment horizontal="center" vertical="center"/>
    </xf>
    <xf numFmtId="0" fontId="9" fillId="13" borderId="26" xfId="0" applyFont="1" applyFill="1" applyBorder="1" applyAlignment="1">
      <alignment horizontal="center" vertical="center"/>
    </xf>
    <xf numFmtId="0" fontId="108" fillId="7" borderId="54" xfId="0" applyFont="1" applyFill="1" applyBorder="1" applyAlignment="1">
      <alignment horizontal="center" vertical="center" wrapText="1"/>
    </xf>
    <xf numFmtId="0" fontId="108" fillId="7" borderId="55" xfId="0" applyFont="1" applyFill="1" applyBorder="1" applyAlignment="1">
      <alignment horizontal="center" vertical="center" wrapText="1"/>
    </xf>
    <xf numFmtId="0" fontId="108" fillId="7" borderId="56" xfId="0" applyFont="1" applyFill="1" applyBorder="1" applyAlignment="1">
      <alignment horizontal="center" vertical="center" wrapText="1"/>
    </xf>
    <xf numFmtId="0" fontId="108" fillId="7" borderId="57" xfId="0" applyFont="1" applyFill="1" applyBorder="1" applyAlignment="1">
      <alignment horizontal="center" vertical="center" wrapText="1"/>
    </xf>
    <xf numFmtId="0" fontId="108" fillId="7" borderId="142" xfId="0" applyFont="1" applyFill="1" applyBorder="1" applyAlignment="1">
      <alignment horizontal="center" vertical="center" wrapText="1"/>
    </xf>
    <xf numFmtId="0" fontId="108" fillId="7" borderId="143" xfId="0" applyFont="1" applyFill="1" applyBorder="1" applyAlignment="1">
      <alignment horizontal="center" vertical="center" wrapText="1"/>
    </xf>
    <xf numFmtId="0" fontId="109" fillId="35" borderId="0" xfId="0" applyFont="1" applyFill="1" applyBorder="1" applyAlignment="1">
      <alignment horizontal="center" vertical="center" wrapText="1"/>
    </xf>
    <xf numFmtId="0" fontId="125" fillId="13" borderId="63" xfId="0" applyFont="1" applyFill="1" applyBorder="1" applyAlignment="1">
      <alignment horizontal="center" vertical="center"/>
    </xf>
    <xf numFmtId="0" fontId="125" fillId="13" borderId="64" xfId="0" applyFont="1" applyFill="1" applyBorder="1" applyAlignment="1">
      <alignment horizontal="center" vertical="center"/>
    </xf>
    <xf numFmtId="0" fontId="125" fillId="13" borderId="65" xfId="0" applyFont="1" applyFill="1" applyBorder="1" applyAlignment="1">
      <alignment horizontal="center" vertical="center"/>
    </xf>
    <xf numFmtId="0" fontId="51" fillId="13" borderId="66" xfId="0" applyFont="1" applyFill="1" applyBorder="1" applyAlignment="1">
      <alignment horizontal="center" vertical="top"/>
    </xf>
    <xf numFmtId="0" fontId="51" fillId="13" borderId="67" xfId="0" applyFont="1" applyFill="1" applyBorder="1" applyAlignment="1">
      <alignment horizontal="center" vertical="top"/>
    </xf>
    <xf numFmtId="0" fontId="51" fillId="13" borderId="68" xfId="0" applyFont="1" applyFill="1" applyBorder="1" applyAlignment="1">
      <alignment horizontal="center" vertical="top"/>
    </xf>
    <xf numFmtId="0" fontId="108" fillId="7" borderId="58" xfId="0" applyFont="1" applyFill="1" applyBorder="1" applyAlignment="1">
      <alignment horizontal="center" vertical="center" wrapText="1"/>
    </xf>
    <xf numFmtId="0" fontId="108" fillId="7" borderId="59" xfId="0" applyFont="1" applyFill="1" applyBorder="1" applyAlignment="1">
      <alignment horizontal="center" vertical="center" wrapText="1"/>
    </xf>
    <xf numFmtId="0" fontId="142" fillId="38" borderId="0" xfId="0" applyFont="1" applyFill="1" applyBorder="1" applyAlignment="1">
      <alignment horizontal="left" vertical="top"/>
    </xf>
    <xf numFmtId="0" fontId="157" fillId="38" borderId="0" xfId="0" applyFont="1" applyFill="1" applyBorder="1" applyAlignment="1">
      <alignment horizontal="left" vertical="top" wrapText="1"/>
    </xf>
    <xf numFmtId="0" fontId="169" fillId="38" borderId="0" xfId="0" applyFont="1" applyFill="1" applyBorder="1" applyAlignment="1">
      <alignment horizontal="left" vertical="center"/>
    </xf>
    <xf numFmtId="0" fontId="162" fillId="39" borderId="155" xfId="4" applyFont="1" applyFill="1" applyBorder="1" applyAlignment="1">
      <alignment horizontal="center" vertical="center" wrapText="1"/>
    </xf>
    <xf numFmtId="0" fontId="162" fillId="39" borderId="156" xfId="4" applyFont="1" applyFill="1" applyBorder="1" applyAlignment="1">
      <alignment horizontal="center" vertical="center" wrapText="1"/>
    </xf>
    <xf numFmtId="0" fontId="162" fillId="39" borderId="157" xfId="4" applyFont="1" applyFill="1" applyBorder="1" applyAlignment="1">
      <alignment horizontal="center" vertical="center" wrapText="1"/>
    </xf>
    <xf numFmtId="165" fontId="226" fillId="38" borderId="0" xfId="4" applyNumberFormat="1" applyFont="1" applyFill="1" applyBorder="1" applyAlignment="1">
      <alignment horizontal="center" vertical="center"/>
    </xf>
    <xf numFmtId="165" fontId="319" fillId="38" borderId="0" xfId="0" applyNumberFormat="1" applyFont="1" applyFill="1" applyBorder="1" applyAlignment="1">
      <alignment horizontal="left" indent="1"/>
    </xf>
    <xf numFmtId="0" fontId="119" fillId="9" borderId="0" xfId="0" applyFont="1" applyFill="1" applyBorder="1" applyAlignment="1">
      <alignment horizontal="left" vertical="center" wrapText="1"/>
    </xf>
    <xf numFmtId="0" fontId="89" fillId="4" borderId="5" xfId="0" applyFont="1" applyFill="1" applyBorder="1" applyAlignment="1">
      <alignment horizontal="center" vertical="center" wrapText="1"/>
    </xf>
    <xf numFmtId="0" fontId="89" fillId="4" borderId="6" xfId="0" applyFont="1" applyFill="1" applyBorder="1" applyAlignment="1">
      <alignment horizontal="center" vertical="center" wrapText="1"/>
    </xf>
    <xf numFmtId="0" fontId="89" fillId="4" borderId="7" xfId="0" applyFont="1" applyFill="1" applyBorder="1" applyAlignment="1">
      <alignment horizontal="center" vertical="center" wrapText="1"/>
    </xf>
    <xf numFmtId="0" fontId="89" fillId="4" borderId="10" xfId="0" applyFont="1" applyFill="1" applyBorder="1" applyAlignment="1">
      <alignment horizontal="center" vertical="center" wrapText="1"/>
    </xf>
    <xf numFmtId="0" fontId="89" fillId="4" borderId="11" xfId="0" applyFont="1" applyFill="1" applyBorder="1" applyAlignment="1">
      <alignment horizontal="center" vertical="center" wrapText="1"/>
    </xf>
    <xf numFmtId="0" fontId="89" fillId="4" borderId="12" xfId="0" applyFont="1" applyFill="1" applyBorder="1" applyAlignment="1">
      <alignment horizontal="center" vertical="center" wrapText="1"/>
    </xf>
    <xf numFmtId="0" fontId="139" fillId="9" borderId="0" xfId="0" applyFont="1" applyFill="1" applyBorder="1" applyAlignment="1">
      <alignment horizontal="left" vertical="center" wrapText="1"/>
    </xf>
    <xf numFmtId="0" fontId="141" fillId="36" borderId="169" xfId="0" applyFont="1" applyFill="1" applyBorder="1" applyAlignment="1">
      <alignment horizontal="left" vertical="center"/>
    </xf>
    <xf numFmtId="0" fontId="16" fillId="37" borderId="145" xfId="0" applyFont="1" applyFill="1" applyBorder="1" applyAlignment="1">
      <alignment horizontal="left" vertical="center"/>
    </xf>
    <xf numFmtId="0" fontId="16" fillId="40" borderId="154" xfId="0" applyFont="1" applyFill="1" applyBorder="1" applyAlignment="1">
      <alignment horizontal="left" vertical="center"/>
    </xf>
    <xf numFmtId="0" fontId="292" fillId="11" borderId="0" xfId="0" applyFont="1" applyFill="1" applyBorder="1" applyAlignment="1">
      <alignment horizontal="center" vertical="top"/>
    </xf>
    <xf numFmtId="0" fontId="233" fillId="9" borderId="0" xfId="0" applyFont="1" applyFill="1" applyBorder="1" applyAlignment="1">
      <alignment horizontal="left" vertical="top" wrapText="1"/>
    </xf>
    <xf numFmtId="0" fontId="13" fillId="11" borderId="169" xfId="0" applyFont="1" applyFill="1" applyBorder="1" applyAlignment="1">
      <alignment horizontal="center"/>
    </xf>
    <xf numFmtId="0" fontId="13" fillId="11" borderId="0" xfId="0" applyFont="1" applyFill="1" applyBorder="1" applyAlignment="1">
      <alignment horizontal="center"/>
    </xf>
    <xf numFmtId="0" fontId="89" fillId="4" borderId="182" xfId="0" applyFont="1" applyFill="1" applyBorder="1" applyAlignment="1">
      <alignment horizontal="center" vertical="center" shrinkToFit="1"/>
    </xf>
    <xf numFmtId="0" fontId="89" fillId="4" borderId="183" xfId="0" applyFont="1" applyFill="1" applyBorder="1" applyAlignment="1">
      <alignment horizontal="center" vertical="center" shrinkToFit="1"/>
    </xf>
    <xf numFmtId="0" fontId="89" fillId="4" borderId="184" xfId="0" applyFont="1" applyFill="1" applyBorder="1" applyAlignment="1">
      <alignment horizontal="center" vertical="center" shrinkToFit="1"/>
    </xf>
    <xf numFmtId="0" fontId="6" fillId="48" borderId="200" xfId="0" applyFont="1" applyFill="1" applyBorder="1" applyAlignment="1">
      <alignment horizontal="left" vertical="center"/>
    </xf>
    <xf numFmtId="0" fontId="311" fillId="48" borderId="205" xfId="4" applyFont="1" applyFill="1" applyBorder="1" applyAlignment="1">
      <alignment horizontal="left" vertical="center"/>
    </xf>
    <xf numFmtId="0" fontId="157" fillId="48" borderId="0" xfId="0" applyFont="1" applyFill="1" applyBorder="1" applyAlignment="1">
      <alignment horizontal="left" vertical="center" indent="2"/>
    </xf>
    <xf numFmtId="0" fontId="180" fillId="42" borderId="169" xfId="0" applyFont="1" applyFill="1" applyBorder="1" applyAlignment="1">
      <alignment horizontal="left" vertical="center"/>
    </xf>
    <xf numFmtId="0" fontId="296" fillId="11" borderId="0" xfId="0" applyFont="1" applyFill="1" applyBorder="1" applyAlignment="1">
      <alignment horizontal="center" vertical="center"/>
    </xf>
    <xf numFmtId="0" fontId="157" fillId="48" borderId="205" xfId="0" applyFont="1" applyFill="1" applyBorder="1" applyAlignment="1">
      <alignment horizontal="left" vertical="center" indent="5"/>
    </xf>
    <xf numFmtId="0" fontId="6" fillId="48" borderId="0" xfId="0" applyFont="1" applyFill="1" applyBorder="1" applyAlignment="1">
      <alignment horizontal="left" vertical="center"/>
    </xf>
    <xf numFmtId="0" fontId="157" fillId="48" borderId="205" xfId="0" applyFont="1" applyFill="1" applyBorder="1" applyAlignment="1">
      <alignment horizontal="left" vertical="center" indent="2"/>
    </xf>
    <xf numFmtId="0" fontId="157" fillId="48" borderId="0" xfId="0" applyFont="1" applyFill="1" applyBorder="1" applyAlignment="1">
      <alignment horizontal="left" vertical="center" indent="5"/>
    </xf>
    <xf numFmtId="0" fontId="13" fillId="12" borderId="169" xfId="0" applyFont="1" applyFill="1" applyBorder="1" applyAlignment="1">
      <alignment horizontal="center" vertical="center"/>
    </xf>
    <xf numFmtId="0" fontId="13" fillId="44" borderId="169" xfId="0" applyFont="1" applyFill="1" applyBorder="1" applyAlignment="1">
      <alignment horizontal="center"/>
    </xf>
    <xf numFmtId="0" fontId="201" fillId="9" borderId="0" xfId="0" applyFont="1" applyFill="1" applyBorder="1" applyAlignment="1">
      <alignment horizontal="left" vertical="top" wrapText="1"/>
    </xf>
    <xf numFmtId="0" fontId="114" fillId="4" borderId="3" xfId="0" applyFont="1" applyFill="1" applyBorder="1" applyAlignment="1">
      <alignment horizontal="center" vertical="center"/>
    </xf>
    <xf numFmtId="0" fontId="114" fillId="4" borderId="13" xfId="0" applyFont="1" applyFill="1" applyBorder="1" applyAlignment="1">
      <alignment horizontal="center" vertical="center"/>
    </xf>
    <xf numFmtId="0" fontId="114" fillId="4" borderId="4" xfId="0" applyFont="1" applyFill="1" applyBorder="1" applyAlignment="1">
      <alignment horizontal="center" vertical="center"/>
    </xf>
    <xf numFmtId="0" fontId="209" fillId="49" borderId="0" xfId="0" applyFont="1" applyFill="1" applyBorder="1" applyAlignment="1">
      <alignment horizontal="right" vertical="center" shrinkToFit="1"/>
    </xf>
    <xf numFmtId="0" fontId="243" fillId="9" borderId="0" xfId="0" applyFont="1" applyFill="1" applyAlignment="1">
      <alignment horizontal="left" vertical="top" wrapText="1"/>
    </xf>
    <xf numFmtId="0" fontId="280" fillId="9" borderId="0" xfId="4" applyFont="1" applyFill="1" applyAlignment="1">
      <alignment horizontal="left" vertical="top" wrapText="1"/>
    </xf>
    <xf numFmtId="0" fontId="154" fillId="9" borderId="0" xfId="4" applyFill="1" applyAlignment="1">
      <alignment horizontal="left" vertical="top" wrapText="1"/>
    </xf>
    <xf numFmtId="0" fontId="283" fillId="9" borderId="223" xfId="0" applyFont="1" applyFill="1" applyBorder="1" applyAlignment="1">
      <alignment horizontal="right" wrapText="1"/>
    </xf>
    <xf numFmtId="0" fontId="283" fillId="9" borderId="224" xfId="0" applyFont="1" applyFill="1" applyBorder="1" applyAlignment="1">
      <alignment horizontal="right" wrapText="1"/>
    </xf>
    <xf numFmtId="0" fontId="283" fillId="9" borderId="227" xfId="0" applyFont="1" applyFill="1" applyBorder="1" applyAlignment="1">
      <alignment horizontal="right" wrapText="1"/>
    </xf>
    <xf numFmtId="0" fontId="283" fillId="9" borderId="228" xfId="0" applyFont="1" applyFill="1" applyBorder="1" applyAlignment="1">
      <alignment horizontal="right" wrapText="1"/>
    </xf>
    <xf numFmtId="0" fontId="233" fillId="9" borderId="0" xfId="0" applyFont="1" applyFill="1" applyBorder="1" applyAlignment="1">
      <alignment horizontal="left" vertical="top" wrapText="1" indent="1"/>
    </xf>
    <xf numFmtId="0" fontId="238" fillId="42" borderId="161" xfId="0" applyFont="1" applyFill="1" applyBorder="1" applyAlignment="1">
      <alignment horizontal="left" vertical="center"/>
    </xf>
    <xf numFmtId="0" fontId="233" fillId="49" borderId="0" xfId="0" applyFont="1" applyFill="1" applyBorder="1" applyAlignment="1">
      <alignment horizontal="left" vertical="top" wrapText="1"/>
    </xf>
    <xf numFmtId="0" fontId="209" fillId="49" borderId="0" xfId="0" applyFont="1" applyFill="1" applyBorder="1" applyAlignment="1">
      <alignment horizontal="left" vertical="center" shrinkToFit="1"/>
    </xf>
    <xf numFmtId="0" fontId="177" fillId="9" borderId="0" xfId="4" applyFont="1" applyFill="1" applyBorder="1" applyAlignment="1">
      <alignment horizontal="left" vertical="top" wrapText="1"/>
    </xf>
    <xf numFmtId="0" fontId="310" fillId="9" borderId="0" xfId="4" applyFont="1" applyFill="1" applyBorder="1" applyAlignment="1">
      <alignment horizontal="left" vertical="top" wrapText="1"/>
    </xf>
    <xf numFmtId="0" fontId="278" fillId="9" borderId="0" xfId="0" applyFont="1" applyFill="1" applyBorder="1" applyAlignment="1">
      <alignment horizontal="left" vertical="center"/>
    </xf>
    <xf numFmtId="0" fontId="285" fillId="9" borderId="189" xfId="0" applyFont="1" applyFill="1" applyBorder="1" applyAlignment="1">
      <alignment horizontal="left" vertical="top" wrapText="1"/>
    </xf>
    <xf numFmtId="0" fontId="283" fillId="9" borderId="190" xfId="0" applyFont="1" applyFill="1" applyBorder="1" applyAlignment="1">
      <alignment horizontal="left" vertical="top" wrapText="1"/>
    </xf>
    <xf numFmtId="0" fontId="283" fillId="9" borderId="191" xfId="0" applyFont="1" applyFill="1" applyBorder="1" applyAlignment="1">
      <alignment horizontal="left" vertical="top" wrapText="1"/>
    </xf>
    <xf numFmtId="0" fontId="283" fillId="9" borderId="186" xfId="0" applyFont="1" applyFill="1" applyBorder="1" applyAlignment="1">
      <alignment horizontal="left" vertical="top" wrapText="1"/>
    </xf>
    <xf numFmtId="0" fontId="283" fillId="9" borderId="0" xfId="0" applyFont="1" applyFill="1" applyBorder="1" applyAlignment="1">
      <alignment horizontal="left" vertical="top" wrapText="1"/>
    </xf>
    <xf numFmtId="0" fontId="283" fillId="9" borderId="193" xfId="0" applyFont="1" applyFill="1" applyBorder="1" applyAlignment="1">
      <alignment horizontal="left" vertical="top" wrapText="1"/>
    </xf>
    <xf numFmtId="0" fontId="283" fillId="9" borderId="196" xfId="0" applyFont="1" applyFill="1" applyBorder="1" applyAlignment="1">
      <alignment horizontal="left" vertical="top" wrapText="1"/>
    </xf>
    <xf numFmtId="0" fontId="283" fillId="9" borderId="197" xfId="0" applyFont="1" applyFill="1" applyBorder="1" applyAlignment="1">
      <alignment horizontal="left" vertical="top" wrapText="1"/>
    </xf>
    <xf numFmtId="0" fontId="283" fillId="9" borderId="198" xfId="0" applyFont="1" applyFill="1" applyBorder="1" applyAlignment="1">
      <alignment horizontal="left" vertical="top" wrapText="1"/>
    </xf>
    <xf numFmtId="0" fontId="234" fillId="9" borderId="0" xfId="0" applyFont="1" applyFill="1" applyBorder="1" applyAlignment="1">
      <alignment horizontal="left" vertical="top" wrapText="1"/>
    </xf>
    <xf numFmtId="0" fontId="221" fillId="12" borderId="169" xfId="0" applyFont="1" applyFill="1" applyBorder="1" applyAlignment="1">
      <alignment horizontal="left" vertical="center"/>
    </xf>
    <xf numFmtId="0" fontId="30" fillId="4" borderId="3" xfId="0" applyFont="1" applyFill="1" applyBorder="1" applyAlignment="1">
      <alignment horizontal="center" vertical="center"/>
    </xf>
    <xf numFmtId="0" fontId="30" fillId="4" borderId="13" xfId="0" applyFont="1" applyFill="1" applyBorder="1" applyAlignment="1">
      <alignment horizontal="center" vertical="center"/>
    </xf>
    <xf numFmtId="0" fontId="30" fillId="4" borderId="4" xfId="0" applyFont="1" applyFill="1" applyBorder="1" applyAlignment="1">
      <alignment horizontal="center" vertical="center"/>
    </xf>
    <xf numFmtId="0" fontId="283" fillId="9" borderId="222" xfId="0" applyFont="1" applyFill="1" applyBorder="1" applyAlignment="1">
      <alignment horizontal="left" wrapText="1"/>
    </xf>
    <xf numFmtId="0" fontId="283" fillId="9" borderId="223" xfId="0" applyFont="1" applyFill="1" applyBorder="1" applyAlignment="1">
      <alignment horizontal="left" wrapText="1"/>
    </xf>
    <xf numFmtId="0" fontId="283" fillId="9" borderId="225" xfId="0" applyFont="1" applyFill="1" applyBorder="1" applyAlignment="1">
      <alignment horizontal="left" wrapText="1"/>
    </xf>
    <xf numFmtId="0" fontId="283" fillId="9" borderId="226" xfId="0" applyFont="1" applyFill="1" applyBorder="1" applyAlignment="1">
      <alignment horizontal="left" wrapText="1"/>
    </xf>
    <xf numFmtId="0" fontId="184" fillId="9" borderId="0" xfId="0" applyFont="1" applyFill="1" applyBorder="1" applyAlignment="1">
      <alignment horizontal="left" vertical="top" wrapText="1"/>
    </xf>
    <xf numFmtId="0" fontId="233" fillId="9" borderId="0" xfId="0" applyFont="1" applyFill="1" applyBorder="1" applyAlignment="1">
      <alignment horizontal="left" vertical="top" wrapText="1" indent="2"/>
    </xf>
    <xf numFmtId="0" fontId="342" fillId="56" borderId="0" xfId="0" applyFont="1" applyFill="1" applyBorder="1" applyAlignment="1">
      <alignment horizontal="center" vertical="center" wrapText="1"/>
    </xf>
    <xf numFmtId="0" fontId="381" fillId="7" borderId="0" xfId="0" applyFont="1" applyFill="1" applyBorder="1" applyAlignment="1">
      <alignment horizontal="center" vertical="center" wrapText="1"/>
    </xf>
    <xf numFmtId="0" fontId="286" fillId="53" borderId="0" xfId="0" applyFont="1" applyFill="1" applyBorder="1" applyAlignment="1">
      <alignment horizontal="left" vertical="top" wrapText="1"/>
    </xf>
    <xf numFmtId="0" fontId="387" fillId="48" borderId="278" xfId="0" applyFont="1" applyFill="1" applyBorder="1" applyAlignment="1">
      <alignment horizontal="left" vertical="center"/>
    </xf>
    <xf numFmtId="0" fontId="157" fillId="48" borderId="190" xfId="0" applyFont="1" applyFill="1" applyBorder="1" applyAlignment="1">
      <alignment horizontal="center" vertical="center"/>
    </xf>
    <xf numFmtId="0" fontId="239" fillId="59" borderId="169" xfId="4" applyFont="1" applyFill="1" applyBorder="1" applyAlignment="1">
      <alignment horizontal="left" vertical="center"/>
    </xf>
    <xf numFmtId="0" fontId="387" fillId="48" borderId="0" xfId="0" applyFont="1" applyFill="1" applyBorder="1" applyAlignment="1">
      <alignment horizontal="left" vertical="center"/>
    </xf>
    <xf numFmtId="0" fontId="387" fillId="48" borderId="281" xfId="0" applyFont="1" applyFill="1" applyBorder="1" applyAlignment="1">
      <alignment horizontal="left" vertical="center"/>
    </xf>
    <xf numFmtId="0" fontId="385" fillId="48" borderId="0" xfId="0" applyFont="1" applyFill="1" applyBorder="1" applyAlignment="1">
      <alignment horizontal="left" vertical="center" indent="2"/>
    </xf>
    <xf numFmtId="0" fontId="384" fillId="48" borderId="0" xfId="0" applyFont="1" applyFill="1" applyBorder="1" applyAlignment="1">
      <alignment horizontal="left" vertical="center"/>
    </xf>
    <xf numFmtId="0" fontId="22" fillId="9" borderId="8" xfId="0" applyFont="1" applyFill="1" applyBorder="1" applyAlignment="1">
      <alignment horizontal="center" vertical="center"/>
    </xf>
    <xf numFmtId="0" fontId="22" fillId="9" borderId="0" xfId="0" applyFont="1" applyFill="1" applyBorder="1" applyAlignment="1">
      <alignment horizontal="center" vertical="center"/>
    </xf>
    <xf numFmtId="0" fontId="30" fillId="4" borderId="238" xfId="0" applyFont="1" applyFill="1" applyBorder="1" applyAlignment="1">
      <alignment horizontal="center" vertical="center" shrinkToFit="1"/>
    </xf>
    <xf numFmtId="0" fontId="30" fillId="4" borderId="239" xfId="0" applyFont="1" applyFill="1" applyBorder="1" applyAlignment="1">
      <alignment horizontal="center" vertical="center" shrinkToFit="1"/>
    </xf>
    <xf numFmtId="0" fontId="30" fillId="4" borderId="240" xfId="0" applyFont="1" applyFill="1" applyBorder="1" applyAlignment="1">
      <alignment horizontal="center" vertical="center" shrinkToFit="1"/>
    </xf>
    <xf numFmtId="0" fontId="30" fillId="4" borderId="241" xfId="0" applyFont="1" applyFill="1" applyBorder="1" applyAlignment="1">
      <alignment horizontal="center" vertical="center" shrinkToFit="1"/>
    </xf>
    <xf numFmtId="0" fontId="30" fillId="4" borderId="242" xfId="0" applyFont="1" applyFill="1" applyBorder="1" applyAlignment="1">
      <alignment horizontal="center" vertical="center" shrinkToFit="1"/>
    </xf>
    <xf numFmtId="0" fontId="30" fillId="4" borderId="243" xfId="0" applyFont="1" applyFill="1" applyBorder="1" applyAlignment="1">
      <alignment horizontal="center" vertical="center" shrinkToFit="1"/>
    </xf>
    <xf numFmtId="0" fontId="30" fillId="4" borderId="3" xfId="0" applyFont="1" applyFill="1" applyBorder="1" applyAlignment="1">
      <alignment horizontal="center" vertical="center" shrinkToFit="1"/>
    </xf>
    <xf numFmtId="0" fontId="30" fillId="4" borderId="13" xfId="0" applyFont="1" applyFill="1" applyBorder="1" applyAlignment="1">
      <alignment horizontal="center" vertical="center" shrinkToFit="1"/>
    </xf>
    <xf numFmtId="0" fontId="30" fillId="4" borderId="4" xfId="0" applyFont="1" applyFill="1" applyBorder="1" applyAlignment="1">
      <alignment horizontal="center" vertical="center" shrinkToFit="1"/>
    </xf>
    <xf numFmtId="0" fontId="392" fillId="9" borderId="244" xfId="0" applyFont="1" applyFill="1" applyBorder="1" applyAlignment="1">
      <alignment horizontal="center" vertical="center"/>
    </xf>
    <xf numFmtId="0" fontId="392" fillId="9" borderId="245" xfId="0" applyFont="1" applyFill="1" applyBorder="1" applyAlignment="1">
      <alignment horizontal="center" vertical="center"/>
    </xf>
    <xf numFmtId="0" fontId="392" fillId="9" borderId="246" xfId="0" applyFont="1" applyFill="1" applyBorder="1" applyAlignment="1">
      <alignment horizontal="center" vertical="center"/>
    </xf>
    <xf numFmtId="0" fontId="344" fillId="57" borderId="0" xfId="0" applyFont="1" applyFill="1" applyBorder="1" applyAlignment="1">
      <alignment horizontal="center" vertical="center" wrapText="1"/>
    </xf>
    <xf numFmtId="0" fontId="334" fillId="7" borderId="0" xfId="0" applyFont="1" applyFill="1" applyBorder="1" applyAlignment="1">
      <alignment horizontal="left" vertical="center" shrinkToFit="1"/>
    </xf>
    <xf numFmtId="0" fontId="335" fillId="56" borderId="0" xfId="0" applyFont="1" applyFill="1" applyBorder="1" applyAlignment="1">
      <alignment horizontal="right" vertical="center" shrinkToFit="1"/>
    </xf>
    <xf numFmtId="0" fontId="341" fillId="7" borderId="0" xfId="0" applyFont="1" applyFill="1" applyBorder="1" applyAlignment="1">
      <alignment horizontal="center" vertical="center" wrapText="1"/>
    </xf>
    <xf numFmtId="0" fontId="176" fillId="4" borderId="21" xfId="0" applyFont="1" applyFill="1" applyBorder="1" applyAlignment="1">
      <alignment horizontal="center" vertical="center"/>
    </xf>
    <xf numFmtId="0" fontId="176" fillId="4" borderId="23" xfId="0" applyFont="1" applyFill="1" applyBorder="1" applyAlignment="1">
      <alignment horizontal="center" vertical="center"/>
    </xf>
    <xf numFmtId="0" fontId="30" fillId="4" borderId="3" xfId="0" applyFont="1" applyFill="1" applyBorder="1" applyAlignment="1">
      <alignment horizontal="center" vertical="center" wrapText="1"/>
    </xf>
    <xf numFmtId="0" fontId="30" fillId="4" borderId="13" xfId="0" applyFont="1" applyFill="1" applyBorder="1" applyAlignment="1">
      <alignment horizontal="center" vertical="center" wrapText="1"/>
    </xf>
    <xf numFmtId="0" fontId="30" fillId="4" borderId="4" xfId="0" applyFont="1" applyFill="1" applyBorder="1" applyAlignment="1">
      <alignment horizontal="center" vertical="center" wrapText="1"/>
    </xf>
    <xf numFmtId="0" fontId="233" fillId="9" borderId="6" xfId="0" applyFont="1" applyFill="1" applyBorder="1" applyAlignment="1">
      <alignment horizontal="left" vertical="top" wrapText="1"/>
    </xf>
    <xf numFmtId="0" fontId="407" fillId="57" borderId="247" xfId="0" applyFont="1" applyFill="1" applyBorder="1" applyAlignment="1">
      <alignment horizontal="center" vertical="top"/>
    </xf>
    <xf numFmtId="0" fontId="417" fillId="57" borderId="247" xfId="0" applyFont="1" applyFill="1" applyBorder="1" applyAlignment="1">
      <alignment horizontal="center" vertical="top"/>
    </xf>
    <xf numFmtId="5" fontId="345" fillId="9" borderId="0" xfId="5" applyNumberFormat="1" applyFont="1" applyFill="1" applyBorder="1" applyAlignment="1">
      <alignment horizontal="right" vertical="center"/>
    </xf>
    <xf numFmtId="0" fontId="348" fillId="42" borderId="0" xfId="0" applyFont="1" applyFill="1" applyBorder="1" applyAlignment="1">
      <alignment horizontal="left" vertical="center"/>
    </xf>
    <xf numFmtId="0" fontId="176" fillId="4" borderId="21" xfId="0" applyFont="1" applyFill="1" applyBorder="1" applyAlignment="1">
      <alignment horizontal="left" vertical="center" shrinkToFit="1"/>
    </xf>
    <xf numFmtId="0" fontId="176" fillId="4" borderId="22" xfId="0" applyFont="1" applyFill="1" applyBorder="1" applyAlignment="1">
      <alignment horizontal="left" vertical="center" shrinkToFit="1"/>
    </xf>
    <xf numFmtId="0" fontId="176" fillId="4" borderId="23" xfId="0" applyFont="1" applyFill="1" applyBorder="1" applyAlignment="1">
      <alignment horizontal="left" vertical="center" shrinkToFit="1"/>
    </xf>
    <xf numFmtId="0" fontId="371" fillId="9" borderId="19" xfId="0" applyFont="1" applyFill="1" applyBorder="1" applyAlignment="1">
      <alignment horizontal="center" vertical="center"/>
    </xf>
    <xf numFmtId="0" fontId="370" fillId="53" borderId="0" xfId="0" applyFont="1" applyFill="1" applyBorder="1" applyAlignment="1">
      <alignment horizontal="left" vertical="top" wrapText="1"/>
    </xf>
    <xf numFmtId="0" fontId="286" fillId="53" borderId="0" xfId="0" applyFont="1" applyFill="1" applyBorder="1" applyAlignment="1">
      <alignment horizontal="right" vertical="top" wrapText="1"/>
    </xf>
    <xf numFmtId="0" fontId="343" fillId="11" borderId="0" xfId="0" applyFont="1" applyFill="1" applyBorder="1" applyAlignment="1">
      <alignment horizontal="center" vertical="center" wrapText="1"/>
    </xf>
    <xf numFmtId="0" fontId="219" fillId="48" borderId="231" xfId="0" applyFont="1" applyFill="1" applyBorder="1" applyAlignment="1">
      <alignment horizontal="center" vertical="center" wrapText="1"/>
    </xf>
    <xf numFmtId="0" fontId="219" fillId="48" borderId="0" xfId="0" applyFont="1" applyFill="1" applyBorder="1" applyAlignment="1">
      <alignment horizontal="center" vertical="center" wrapText="1"/>
    </xf>
    <xf numFmtId="0" fontId="233" fillId="54" borderId="0" xfId="0" applyFont="1" applyFill="1" applyBorder="1" applyAlignment="1">
      <alignment horizontal="center" vertical="center" wrapText="1"/>
    </xf>
    <xf numFmtId="0" fontId="233" fillId="48" borderId="0" xfId="0" applyFont="1" applyFill="1" applyBorder="1" applyAlignment="1">
      <alignment horizontal="center" vertical="center" wrapText="1"/>
    </xf>
    <xf numFmtId="0" fontId="30" fillId="4" borderId="235" xfId="0" applyFont="1" applyFill="1" applyBorder="1" applyAlignment="1">
      <alignment horizontal="center" vertical="center" shrinkToFit="1"/>
    </xf>
    <xf numFmtId="0" fontId="30" fillId="4" borderId="236" xfId="0" applyFont="1" applyFill="1" applyBorder="1" applyAlignment="1">
      <alignment horizontal="center" vertical="center" shrinkToFit="1"/>
    </xf>
    <xf numFmtId="0" fontId="30" fillId="4" borderId="237" xfId="0" applyFont="1" applyFill="1" applyBorder="1" applyAlignment="1">
      <alignment horizontal="center" vertical="center" shrinkToFit="1"/>
    </xf>
    <xf numFmtId="0" fontId="378" fillId="63" borderId="232" xfId="0" applyFont="1" applyFill="1" applyBorder="1" applyAlignment="1">
      <alignment horizontal="center" vertical="center" wrapText="1"/>
    </xf>
    <xf numFmtId="0" fontId="378" fillId="63" borderId="233" xfId="0" applyFont="1" applyFill="1" applyBorder="1" applyAlignment="1">
      <alignment horizontal="center" vertical="center" wrapText="1"/>
    </xf>
    <xf numFmtId="0" fontId="378" fillId="63" borderId="234" xfId="0" applyFont="1" applyFill="1" applyBorder="1" applyAlignment="1">
      <alignment horizontal="center" vertical="center" wrapText="1"/>
    </xf>
    <xf numFmtId="0" fontId="369" fillId="31" borderId="0" xfId="0" applyFont="1" applyFill="1" applyBorder="1" applyAlignment="1">
      <alignment horizontal="center" vertical="center" wrapText="1"/>
    </xf>
    <xf numFmtId="0" fontId="463" fillId="7" borderId="6" xfId="0" applyFont="1" applyFill="1" applyBorder="1" applyAlignment="1">
      <alignment horizontal="center" vertical="center" wrapText="1"/>
    </xf>
    <xf numFmtId="0" fontId="463" fillId="7" borderId="0" xfId="0" applyFont="1" applyFill="1" applyBorder="1" applyAlignment="1">
      <alignment horizontal="center" vertical="center" wrapText="1"/>
    </xf>
    <xf numFmtId="0" fontId="458" fillId="58" borderId="0" xfId="0" applyFont="1" applyFill="1" applyBorder="1" applyAlignment="1">
      <alignment horizontal="center" vertical="center" wrapText="1"/>
    </xf>
    <xf numFmtId="0" fontId="458" fillId="58" borderId="230" xfId="0" applyFont="1" applyFill="1" applyBorder="1" applyAlignment="1">
      <alignment horizontal="center" vertical="center" wrapText="1"/>
    </xf>
    <xf numFmtId="0" fontId="459" fillId="53" borderId="0" xfId="0" applyFont="1" applyFill="1" applyBorder="1" applyAlignment="1">
      <alignment horizontal="center" vertical="center" wrapText="1"/>
    </xf>
    <xf numFmtId="0" fontId="363" fillId="58" borderId="0" xfId="0" applyFont="1" applyFill="1" applyBorder="1" applyAlignment="1">
      <alignment horizontal="center" vertical="center" wrapText="1"/>
    </xf>
    <xf numFmtId="0" fontId="363" fillId="58" borderId="230" xfId="0" applyFont="1" applyFill="1" applyBorder="1" applyAlignment="1">
      <alignment horizontal="center" vertical="center" wrapText="1"/>
    </xf>
    <xf numFmtId="0" fontId="357" fillId="9" borderId="0" xfId="0" applyFont="1" applyFill="1" applyBorder="1" applyAlignment="1">
      <alignment horizontal="left" vertical="center" wrapText="1"/>
    </xf>
    <xf numFmtId="0" fontId="234" fillId="48" borderId="0" xfId="0" applyFont="1" applyFill="1" applyBorder="1" applyAlignment="1">
      <alignment horizontal="center" vertical="center" wrapText="1"/>
    </xf>
    <xf numFmtId="0" fontId="234" fillId="54" borderId="0" xfId="0" applyFont="1" applyFill="1" applyBorder="1" applyAlignment="1">
      <alignment horizontal="center" vertical="center" wrapText="1"/>
    </xf>
    <xf numFmtId="0" fontId="371" fillId="53" borderId="22" xfId="0" applyFont="1" applyFill="1" applyBorder="1" applyAlignment="1">
      <alignment horizontal="center" vertical="center"/>
    </xf>
    <xf numFmtId="0" fontId="371" fillId="53" borderId="23" xfId="0" applyFont="1" applyFill="1" applyBorder="1" applyAlignment="1">
      <alignment horizontal="center" vertical="center"/>
    </xf>
    <xf numFmtId="0" fontId="5" fillId="62" borderId="232" xfId="0" applyFont="1" applyFill="1" applyBorder="1" applyAlignment="1">
      <alignment horizontal="center" vertical="center" wrapText="1"/>
    </xf>
    <xf numFmtId="0" fontId="5" fillId="62" borderId="233" xfId="0" applyFont="1" applyFill="1" applyBorder="1" applyAlignment="1">
      <alignment horizontal="center" vertical="center" wrapText="1"/>
    </xf>
    <xf numFmtId="0" fontId="5" fillId="62" borderId="234" xfId="0" applyFont="1" applyFill="1" applyBorder="1" applyAlignment="1">
      <alignment horizontal="center" vertical="center" wrapText="1"/>
    </xf>
    <xf numFmtId="0" fontId="333" fillId="53" borderId="0" xfId="0" applyFont="1" applyFill="1" applyBorder="1" applyAlignment="1">
      <alignment horizontal="left" vertical="top" wrapText="1"/>
    </xf>
    <xf numFmtId="0" fontId="233" fillId="53" borderId="0" xfId="0" applyFont="1" applyFill="1" applyBorder="1" applyAlignment="1">
      <alignment horizontal="center" vertical="top" wrapText="1"/>
    </xf>
    <xf numFmtId="0" fontId="321" fillId="59" borderId="161" xfId="4" applyFont="1" applyFill="1" applyBorder="1" applyAlignment="1">
      <alignment horizontal="left" vertical="center"/>
    </xf>
    <xf numFmtId="0" fontId="332" fillId="53" borderId="0" xfId="0" applyFont="1" applyFill="1" applyBorder="1" applyAlignment="1">
      <alignment horizontal="left" vertical="top" wrapText="1"/>
    </xf>
    <xf numFmtId="0" fontId="354" fillId="54" borderId="0" xfId="0" applyFont="1" applyFill="1" applyBorder="1" applyAlignment="1">
      <alignment horizontal="center" vertical="center" wrapText="1"/>
    </xf>
    <xf numFmtId="0" fontId="355" fillId="48" borderId="0" xfId="0" applyFont="1" applyFill="1" applyBorder="1" applyAlignment="1">
      <alignment horizontal="center" vertical="center" wrapText="1"/>
    </xf>
    <xf numFmtId="0" fontId="27" fillId="53" borderId="0" xfId="0" applyFont="1" applyFill="1" applyBorder="1" applyAlignment="1">
      <alignment horizontal="center" vertical="center" textRotation="90" wrapText="1"/>
    </xf>
    <xf numFmtId="0" fontId="26" fillId="53" borderId="0" xfId="0" applyFont="1" applyFill="1" applyBorder="1" applyAlignment="1">
      <alignment horizontal="center" vertical="center" textRotation="180" wrapText="1"/>
    </xf>
    <xf numFmtId="0" fontId="337" fillId="53" borderId="0" xfId="0" applyFont="1" applyFill="1" applyBorder="1" applyAlignment="1">
      <alignment horizontal="left" vertical="top" wrapText="1"/>
    </xf>
    <xf numFmtId="0" fontId="367" fillId="4" borderId="3" xfId="0" applyFont="1" applyFill="1" applyBorder="1" applyAlignment="1">
      <alignment horizontal="center" vertical="center"/>
    </xf>
    <xf numFmtId="0" fontId="367" fillId="4" borderId="13" xfId="0" applyFont="1" applyFill="1" applyBorder="1" applyAlignment="1">
      <alignment horizontal="center" vertical="center"/>
    </xf>
    <xf numFmtId="0" fontId="367" fillId="4" borderId="4" xfId="0" applyFont="1" applyFill="1" applyBorder="1" applyAlignment="1">
      <alignment horizontal="center" vertical="center"/>
    </xf>
    <xf numFmtId="0" fontId="283" fillId="7" borderId="0" xfId="0" applyFont="1" applyFill="1" applyBorder="1" applyAlignment="1">
      <alignment horizontal="left" wrapText="1"/>
    </xf>
    <xf numFmtId="0" fontId="283" fillId="7" borderId="222" xfId="0" applyFont="1" applyFill="1" applyBorder="1" applyAlignment="1">
      <alignment horizontal="left" wrapText="1"/>
    </xf>
    <xf numFmtId="0" fontId="283" fillId="7" borderId="219" xfId="0" applyFont="1" applyFill="1" applyBorder="1" applyAlignment="1">
      <alignment horizontal="left" wrapText="1"/>
    </xf>
    <xf numFmtId="0" fontId="283" fillId="7" borderId="225" xfId="0" applyFont="1" applyFill="1" applyBorder="1" applyAlignment="1">
      <alignment horizontal="left" wrapText="1"/>
    </xf>
    <xf numFmtId="0" fontId="283" fillId="31" borderId="224" xfId="0" applyFont="1" applyFill="1" applyBorder="1" applyAlignment="1">
      <alignment horizontal="right" wrapText="1"/>
    </xf>
    <xf numFmtId="0" fontId="283" fillId="31" borderId="0" xfId="0" applyFont="1" applyFill="1" applyBorder="1" applyAlignment="1">
      <alignment horizontal="right" wrapText="1"/>
    </xf>
    <xf numFmtId="0" fontId="283" fillId="31" borderId="228" xfId="0" applyFont="1" applyFill="1" applyBorder="1" applyAlignment="1">
      <alignment horizontal="right" wrapText="1"/>
    </xf>
    <xf numFmtId="0" fontId="283" fillId="31" borderId="132" xfId="0" applyFont="1" applyFill="1" applyBorder="1" applyAlignment="1">
      <alignment horizontal="right" wrapText="1"/>
    </xf>
    <xf numFmtId="0" fontId="462" fillId="31" borderId="6" xfId="0" applyFont="1" applyFill="1" applyBorder="1" applyAlignment="1">
      <alignment horizontal="center" vertical="center" wrapText="1"/>
    </xf>
    <xf numFmtId="0" fontId="462" fillId="31" borderId="0" xfId="0" applyFont="1" applyFill="1" applyBorder="1" applyAlignment="1">
      <alignment horizontal="center" vertical="center" wrapText="1"/>
    </xf>
    <xf numFmtId="0" fontId="22" fillId="53" borderId="0" xfId="0" applyFont="1" applyFill="1" applyBorder="1" applyAlignment="1">
      <alignment horizontal="center" vertical="center" wrapText="1"/>
    </xf>
    <xf numFmtId="0" fontId="261" fillId="53" borderId="0" xfId="0" applyFont="1" applyFill="1" applyBorder="1" applyAlignment="1">
      <alignment horizontal="center" vertical="top" wrapText="1"/>
    </xf>
    <xf numFmtId="0" fontId="280" fillId="53" borderId="0" xfId="4" applyFont="1" applyFill="1" applyBorder="1" applyAlignment="1">
      <alignment horizontal="left" vertical="top" wrapText="1"/>
    </xf>
    <xf numFmtId="0" fontId="5" fillId="4" borderId="232" xfId="0" applyFont="1" applyFill="1" applyBorder="1" applyAlignment="1">
      <alignment horizontal="center" vertical="center" wrapText="1"/>
    </xf>
    <xf numFmtId="0" fontId="5" fillId="4" borderId="233" xfId="0" applyFont="1" applyFill="1" applyBorder="1" applyAlignment="1">
      <alignment horizontal="center" vertical="center" wrapText="1"/>
    </xf>
    <xf numFmtId="0" fontId="5" fillId="4" borderId="234" xfId="0" applyFont="1" applyFill="1" applyBorder="1" applyAlignment="1">
      <alignment horizontal="center" vertical="center" wrapText="1"/>
    </xf>
    <xf numFmtId="0" fontId="9" fillId="9" borderId="0" xfId="0" applyFont="1" applyFill="1" applyBorder="1" applyAlignment="1">
      <alignment horizontal="center" vertical="top" shrinkToFit="1"/>
    </xf>
    <xf numFmtId="0" fontId="14" fillId="9" borderId="0" xfId="0" applyFont="1" applyFill="1" applyBorder="1" applyAlignment="1">
      <alignment horizontal="center"/>
    </xf>
    <xf numFmtId="14" fontId="30" fillId="4" borderId="256" xfId="0" applyNumberFormat="1" applyFont="1" applyFill="1" applyBorder="1" applyAlignment="1">
      <alignment horizontal="center" vertical="center"/>
    </xf>
    <xf numFmtId="14" fontId="30" fillId="4" borderId="257" xfId="0" applyNumberFormat="1" applyFont="1" applyFill="1" applyBorder="1" applyAlignment="1">
      <alignment horizontal="center" vertical="center"/>
    </xf>
    <xf numFmtId="14" fontId="30" fillId="4" borderId="254" xfId="0" applyNumberFormat="1" applyFont="1" applyFill="1" applyBorder="1" applyAlignment="1">
      <alignment horizontal="center" vertical="center"/>
    </xf>
    <xf numFmtId="14" fontId="30" fillId="4" borderId="255" xfId="0" applyNumberFormat="1" applyFont="1" applyFill="1" applyBorder="1" applyAlignment="1">
      <alignment horizontal="center" vertical="center"/>
    </xf>
    <xf numFmtId="0" fontId="30" fillId="4" borderId="256" xfId="0" applyFont="1" applyFill="1" applyBorder="1" applyAlignment="1">
      <alignment horizontal="center" vertical="center"/>
    </xf>
    <xf numFmtId="0" fontId="30" fillId="4" borderId="257" xfId="0" applyFont="1" applyFill="1" applyBorder="1" applyAlignment="1">
      <alignment horizontal="center" vertical="center"/>
    </xf>
    <xf numFmtId="0" fontId="30" fillId="27" borderId="22" xfId="0" applyFont="1" applyFill="1" applyBorder="1" applyAlignment="1">
      <alignment horizontal="center" vertical="center" shrinkToFit="1"/>
    </xf>
    <xf numFmtId="0" fontId="30" fillId="27" borderId="23" xfId="0" applyFont="1" applyFill="1" applyBorder="1" applyAlignment="1">
      <alignment horizontal="center" vertical="center" shrinkToFit="1"/>
    </xf>
    <xf numFmtId="166" fontId="30" fillId="27" borderId="21" xfId="5" applyNumberFormat="1" applyFont="1" applyFill="1" applyBorder="1" applyAlignment="1">
      <alignment horizontal="center" vertical="center" shrinkToFit="1"/>
    </xf>
    <xf numFmtId="166" fontId="30" fillId="27" borderId="23" xfId="5" applyNumberFormat="1" applyFont="1" applyFill="1" applyBorder="1" applyAlignment="1">
      <alignment horizontal="center" vertical="center" shrinkToFit="1"/>
    </xf>
    <xf numFmtId="0" fontId="234" fillId="9" borderId="175" xfId="0" applyFont="1" applyFill="1" applyBorder="1" applyAlignment="1">
      <alignment horizontal="left" vertical="center"/>
    </xf>
    <xf numFmtId="0" fontId="234" fillId="9" borderId="17" xfId="0" applyFont="1" applyFill="1" applyBorder="1" applyAlignment="1">
      <alignment horizontal="left" vertical="center"/>
    </xf>
    <xf numFmtId="0" fontId="36" fillId="4" borderId="13" xfId="0" applyFont="1" applyFill="1" applyBorder="1" applyAlignment="1">
      <alignment horizontal="center" vertical="center" shrinkToFit="1"/>
    </xf>
    <xf numFmtId="0" fontId="36" fillId="4" borderId="4" xfId="0" applyFont="1" applyFill="1" applyBorder="1" applyAlignment="1">
      <alignment horizontal="center" vertical="center" shrinkToFit="1"/>
    </xf>
    <xf numFmtId="0" fontId="89" fillId="4" borderId="21" xfId="0" applyFont="1" applyFill="1" applyBorder="1" applyAlignment="1">
      <alignment horizontal="left" vertical="center" indent="1" shrinkToFit="1"/>
    </xf>
    <xf numFmtId="0" fontId="89" fillId="4" borderId="22" xfId="0" applyFont="1" applyFill="1" applyBorder="1" applyAlignment="1">
      <alignment horizontal="left" vertical="center" indent="1" shrinkToFit="1"/>
    </xf>
    <xf numFmtId="0" fontId="89" fillId="4" borderId="23" xfId="0" applyFont="1" applyFill="1" applyBorder="1" applyAlignment="1">
      <alignment horizontal="left" vertical="center" indent="1" shrinkToFit="1"/>
    </xf>
    <xf numFmtId="44" fontId="186" fillId="27" borderId="21" xfId="5" applyFont="1" applyFill="1" applyBorder="1" applyAlignment="1">
      <alignment horizontal="right" vertical="center" shrinkToFit="1"/>
    </xf>
    <xf numFmtId="44" fontId="186" fillId="27" borderId="23" xfId="5" applyFont="1" applyFill="1" applyBorder="1" applyAlignment="1">
      <alignment horizontal="right" vertical="center" shrinkToFit="1"/>
    </xf>
    <xf numFmtId="0" fontId="368" fillId="14" borderId="0" xfId="0" applyFont="1" applyFill="1" applyBorder="1" applyAlignment="1">
      <alignment horizontal="center" vertical="center" wrapText="1"/>
    </xf>
    <xf numFmtId="0" fontId="233" fillId="53" borderId="0" xfId="0" applyFont="1" applyFill="1" applyBorder="1" applyAlignment="1">
      <alignment horizontal="left" vertical="top" wrapText="1"/>
    </xf>
    <xf numFmtId="0" fontId="382" fillId="56" borderId="0" xfId="0" applyFont="1" applyFill="1" applyBorder="1" applyAlignment="1">
      <alignment horizontal="center" vertical="center" wrapText="1"/>
    </xf>
    <xf numFmtId="0" fontId="233" fillId="9" borderId="248" xfId="0" applyFont="1" applyFill="1" applyBorder="1" applyAlignment="1">
      <alignment horizontal="left" vertical="top" wrapText="1"/>
    </xf>
    <xf numFmtId="167" fontId="186" fillId="27" borderId="258" xfId="5" applyNumberFormat="1" applyFont="1" applyFill="1" applyBorder="1" applyAlignment="1">
      <alignment horizontal="right" vertical="center" indent="3" shrinkToFit="1"/>
    </xf>
    <xf numFmtId="44" fontId="186" fillId="27" borderId="23" xfId="5" applyFont="1" applyFill="1" applyBorder="1" applyAlignment="1">
      <alignment horizontal="right" vertical="center" indent="3" shrinkToFit="1"/>
    </xf>
    <xf numFmtId="0" fontId="89" fillId="4" borderId="18" xfId="0" applyFont="1" applyFill="1" applyBorder="1" applyAlignment="1">
      <alignment horizontal="left" vertical="center" indent="1" shrinkToFit="1"/>
    </xf>
    <xf numFmtId="0" fontId="89" fillId="4" borderId="19" xfId="0" applyFont="1" applyFill="1" applyBorder="1" applyAlignment="1">
      <alignment horizontal="left" vertical="center" indent="1" shrinkToFit="1"/>
    </xf>
    <xf numFmtId="0" fontId="89" fillId="4" borderId="20" xfId="0" applyFont="1" applyFill="1" applyBorder="1" applyAlignment="1">
      <alignment horizontal="left" vertical="center" indent="1" shrinkToFit="1"/>
    </xf>
    <xf numFmtId="0" fontId="235" fillId="9" borderId="0" xfId="0" applyFont="1" applyFill="1" applyBorder="1" applyAlignment="1">
      <alignment horizontal="right" vertical="center"/>
    </xf>
    <xf numFmtId="44" fontId="186" fillId="27" borderId="14" xfId="5" applyFont="1" applyFill="1" applyBorder="1" applyAlignment="1">
      <alignment horizontal="right" vertical="center" shrinkToFit="1"/>
    </xf>
    <xf numFmtId="44" fontId="186" fillId="27" borderId="16" xfId="5" applyFont="1" applyFill="1" applyBorder="1" applyAlignment="1">
      <alignment horizontal="right" vertical="center" shrinkToFit="1"/>
    </xf>
    <xf numFmtId="44" fontId="186" fillId="4" borderId="3" xfId="5" applyFont="1" applyFill="1" applyBorder="1" applyAlignment="1">
      <alignment horizontal="right" vertical="center" shrinkToFit="1"/>
    </xf>
    <xf numFmtId="44" fontId="186" fillId="4" borderId="4" xfId="5" applyFont="1" applyFill="1" applyBorder="1" applyAlignment="1">
      <alignment horizontal="right" vertical="center" shrinkToFit="1"/>
    </xf>
    <xf numFmtId="44" fontId="186" fillId="27" borderId="18" xfId="5" applyFont="1" applyFill="1" applyBorder="1" applyAlignment="1">
      <alignment horizontal="right" vertical="center" shrinkToFit="1"/>
    </xf>
    <xf numFmtId="44" fontId="186" fillId="27" borderId="20" xfId="5" applyFont="1" applyFill="1" applyBorder="1" applyAlignment="1">
      <alignment horizontal="right" vertical="center" shrinkToFit="1"/>
    </xf>
    <xf numFmtId="0" fontId="234" fillId="9" borderId="272" xfId="0" applyFont="1" applyFill="1" applyBorder="1" applyAlignment="1">
      <alignment horizontal="left" vertical="top" wrapText="1"/>
    </xf>
    <xf numFmtId="0" fontId="234" fillId="9" borderId="273" xfId="0" applyFont="1" applyFill="1" applyBorder="1" applyAlignment="1">
      <alignment horizontal="left" vertical="top" wrapText="1"/>
    </xf>
    <xf numFmtId="0" fontId="451" fillId="9" borderId="267" xfId="0" applyFont="1" applyFill="1" applyBorder="1" applyAlignment="1">
      <alignment horizontal="center" vertical="center"/>
    </xf>
    <xf numFmtId="0" fontId="451" fillId="9" borderId="268" xfId="0" applyFont="1" applyFill="1" applyBorder="1" applyAlignment="1">
      <alignment horizontal="center" vertical="center"/>
    </xf>
    <xf numFmtId="0" fontId="234" fillId="9" borderId="269" xfId="0" applyFont="1" applyFill="1" applyBorder="1" applyAlignment="1">
      <alignment horizontal="left" vertical="top" wrapText="1"/>
    </xf>
    <xf numFmtId="0" fontId="234" fillId="9" borderId="270" xfId="0" applyFont="1" applyFill="1" applyBorder="1" applyAlignment="1">
      <alignment horizontal="left" vertical="top" wrapText="1"/>
    </xf>
    <xf numFmtId="0" fontId="234" fillId="9" borderId="271" xfId="0" applyFont="1" applyFill="1" applyBorder="1" applyAlignment="1">
      <alignment horizontal="left" vertical="top" wrapText="1"/>
    </xf>
    <xf numFmtId="0" fontId="233" fillId="27" borderId="179" xfId="0" applyFont="1" applyFill="1" applyBorder="1" applyAlignment="1">
      <alignment horizontal="left" vertical="top" wrapText="1" indent="2"/>
    </xf>
    <xf numFmtId="0" fontId="233" fillId="27" borderId="0" xfId="0" applyFont="1" applyFill="1" applyBorder="1" applyAlignment="1">
      <alignment horizontal="left" vertical="top" wrapText="1" indent="2"/>
    </xf>
    <xf numFmtId="0" fontId="233" fillId="27" borderId="252" xfId="0" applyFont="1" applyFill="1" applyBorder="1" applyAlignment="1">
      <alignment horizontal="left" vertical="top" wrapText="1" indent="2"/>
    </xf>
    <xf numFmtId="0" fontId="233" fillId="27" borderId="230" xfId="0" applyFont="1" applyFill="1" applyBorder="1" applyAlignment="1">
      <alignment horizontal="left" vertical="top" wrapText="1" indent="2"/>
    </xf>
    <xf numFmtId="44" fontId="186" fillId="4" borderId="3" xfId="5" applyFont="1" applyFill="1" applyBorder="1" applyAlignment="1">
      <alignment horizontal="center" vertical="center" shrinkToFit="1"/>
    </xf>
    <xf numFmtId="44" fontId="186" fillId="4" borderId="4" xfId="5" applyFont="1" applyFill="1" applyBorder="1" applyAlignment="1">
      <alignment horizontal="center" vertical="center" shrinkToFit="1"/>
    </xf>
    <xf numFmtId="0" fontId="234" fillId="51" borderId="262" xfId="0" applyFont="1" applyFill="1" applyBorder="1" applyAlignment="1">
      <alignment horizontal="left" vertical="top" wrapText="1" indent="2"/>
    </xf>
    <xf numFmtId="0" fontId="234" fillId="51" borderId="0" xfId="0" applyFont="1" applyFill="1" applyBorder="1" applyAlignment="1">
      <alignment horizontal="left" vertical="top" wrapText="1" indent="2"/>
    </xf>
    <xf numFmtId="0" fontId="234" fillId="51" borderId="263" xfId="0" applyFont="1" applyFill="1" applyBorder="1" applyAlignment="1">
      <alignment horizontal="left" vertical="top" wrapText="1" indent="2"/>
    </xf>
    <xf numFmtId="0" fontId="474" fillId="32" borderId="159" xfId="0" applyFont="1" applyFill="1" applyBorder="1" applyAlignment="1">
      <alignment horizontal="center" vertical="center" wrapText="1"/>
    </xf>
    <xf numFmtId="0" fontId="474" fillId="32" borderId="0" xfId="0" applyFont="1" applyFill="1" applyBorder="1" applyAlignment="1">
      <alignment horizontal="center" vertical="center" wrapText="1"/>
    </xf>
    <xf numFmtId="0" fontId="474" fillId="32" borderId="158" xfId="0" applyFont="1" applyFill="1" applyBorder="1" applyAlignment="1">
      <alignment horizontal="center" vertical="center" wrapText="1"/>
    </xf>
  </cellXfs>
  <cellStyles count="6">
    <cellStyle name="Bad" xfId="3" builtinId="27"/>
    <cellStyle name="Currency" xfId="5" builtinId="4"/>
    <cellStyle name="Hyperlink" xfId="4" builtinId="8"/>
    <cellStyle name="Normal" xfId="0" builtinId="0"/>
    <cellStyle name="Normal 2" xfId="2" xr:uid="{00000000-0005-0000-0000-000003000000}"/>
    <cellStyle name="Percent" xfId="1" builtinId="5"/>
  </cellStyles>
  <dxfs count="128">
    <dxf>
      <font>
        <color rgb="FF780091"/>
      </font>
      <fill>
        <gradientFill degree="90">
          <stop position="0">
            <color rgb="FFFFE1FF"/>
          </stop>
          <stop position="1">
            <color rgb="FFFFCCFF"/>
          </stop>
        </gradientFill>
      </fill>
      <border>
        <vertical/>
        <horizontal/>
      </border>
    </dxf>
    <dxf>
      <font>
        <color theme="1" tint="0.499984740745262"/>
      </font>
    </dxf>
    <dxf>
      <font>
        <color theme="1" tint="0.499984740745262"/>
      </font>
    </dxf>
    <dxf>
      <font>
        <color theme="1" tint="0.499984740745262"/>
      </font>
    </dxf>
    <dxf>
      <font>
        <color theme="1" tint="0.499984740745262"/>
      </font>
    </dxf>
    <dxf>
      <font>
        <color theme="1" tint="0.499984740745262"/>
      </font>
    </dxf>
    <dxf>
      <font>
        <color theme="0" tint="-0.499984740745262"/>
      </font>
    </dxf>
    <dxf>
      <font>
        <b/>
        <i val="0"/>
      </font>
    </dxf>
    <dxf>
      <font>
        <color theme="0" tint="-0.499984740745262"/>
      </font>
    </dxf>
    <dxf>
      <font>
        <b/>
        <i val="0"/>
      </font>
    </dxf>
    <dxf>
      <font>
        <color theme="0" tint="-0.499984740745262"/>
      </font>
    </dxf>
    <dxf>
      <font>
        <b/>
        <i val="0"/>
      </font>
    </dxf>
    <dxf>
      <font>
        <color theme="0" tint="-0.499984740745262"/>
      </font>
    </dxf>
    <dxf>
      <font>
        <b/>
        <i val="0"/>
      </font>
    </dxf>
    <dxf>
      <font>
        <color theme="0" tint="-0.499984740745262"/>
      </font>
    </dxf>
    <dxf>
      <font>
        <b/>
        <i val="0"/>
      </font>
    </dxf>
    <dxf>
      <font>
        <color rgb="FF7030A0"/>
      </font>
    </dxf>
    <dxf>
      <font>
        <color theme="1" tint="0.499984740745262"/>
      </font>
    </dxf>
    <dxf>
      <fill>
        <patternFill>
          <bgColor theme="7" tint="0.79998168889431442"/>
        </patternFill>
      </fill>
      <border>
        <left style="thin">
          <color rgb="FF00823C"/>
        </left>
        <right style="thin">
          <color rgb="FF00823C"/>
        </right>
        <bottom style="thin">
          <color rgb="FF00823C"/>
        </bottom>
        <vertical/>
        <horizontal/>
      </border>
    </dxf>
    <dxf>
      <font>
        <color rgb="FF00823C"/>
      </font>
    </dxf>
    <dxf>
      <fill>
        <patternFill>
          <bgColor theme="7" tint="0.79998168889431442"/>
        </patternFill>
      </fill>
      <border>
        <left style="thin">
          <color rgb="FF00823C"/>
        </left>
        <right style="thin">
          <color rgb="FF00823C"/>
        </right>
        <top style="thin">
          <color rgb="FF00823C"/>
        </top>
        <vertical/>
        <horizontal/>
      </border>
    </dxf>
    <dxf>
      <font>
        <color theme="1" tint="0.499984740745262"/>
      </font>
    </dxf>
    <dxf>
      <font>
        <color theme="1" tint="0.499984740745262"/>
      </font>
    </dxf>
    <dxf>
      <font>
        <color theme="1" tint="0.499984740745262"/>
      </font>
    </dxf>
    <dxf>
      <font>
        <color rgb="FF00823C"/>
      </font>
    </dxf>
    <dxf>
      <font>
        <color rgb="FF00823C"/>
      </font>
    </dxf>
    <dxf>
      <font>
        <color rgb="FFFFFF00"/>
      </font>
    </dxf>
    <dxf>
      <font>
        <color rgb="FF9C0006"/>
      </font>
    </dxf>
    <dxf>
      <font>
        <color theme="0" tint="-0.34998626667073579"/>
      </font>
    </dxf>
    <dxf>
      <font>
        <color theme="0" tint="-0.34998626667073579"/>
      </font>
    </dxf>
    <dxf>
      <font>
        <color theme="0" tint="-0.34998626667073579"/>
      </font>
    </dxf>
    <dxf>
      <font>
        <color theme="0" tint="-0.34998626667073579"/>
      </font>
    </dxf>
    <dxf>
      <font>
        <color theme="0" tint="-0.34998626667073579"/>
      </font>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70C0"/>
      </font>
      <fill>
        <patternFill patternType="mediumGray">
          <fgColor theme="8" tint="0.79998168889431442"/>
          <bgColor auto="1"/>
        </patternFill>
      </fill>
      <border>
        <left style="thin">
          <color rgb="FF002060"/>
        </left>
        <right style="thin">
          <color rgb="FF002060"/>
        </right>
        <top style="thin">
          <color rgb="FF002060"/>
        </top>
        <bottom style="thin">
          <color rgb="FF002060"/>
        </bottom>
      </border>
    </dxf>
    <dxf>
      <font>
        <color rgb="FFC00000"/>
      </font>
      <fill>
        <patternFill patternType="mediumGray">
          <fgColor rgb="FFFFCCCC"/>
        </patternFill>
      </fill>
      <border>
        <left style="thin">
          <color rgb="FF780000"/>
        </left>
        <right style="thin">
          <color rgb="FF780000"/>
        </right>
        <top style="thin">
          <color rgb="FF780000"/>
        </top>
        <bottom style="thin">
          <color rgb="FF780000"/>
        </bottom>
      </border>
    </dxf>
    <dxf>
      <font>
        <color rgb="FF0070C0"/>
      </font>
      <fill>
        <patternFill patternType="mediumGray">
          <fgColor theme="8" tint="0.79998168889431442"/>
          <bgColor auto="1"/>
        </patternFill>
      </fill>
    </dxf>
    <dxf>
      <font>
        <color rgb="FFC00000"/>
      </font>
      <fill>
        <patternFill patternType="mediumGray">
          <fgColor rgb="FFFFCCCC"/>
        </patternFill>
      </fill>
    </dxf>
    <dxf>
      <font>
        <b/>
        <i/>
        <color theme="1" tint="0.499984740745262"/>
      </font>
    </dxf>
    <dxf>
      <fill>
        <patternFill>
          <bgColor theme="1"/>
        </patternFill>
      </fill>
    </dxf>
    <dxf>
      <fill>
        <patternFill>
          <bgColor theme="1"/>
        </patternFill>
      </fill>
    </dxf>
    <dxf>
      <fill>
        <patternFill>
          <bgColor theme="9" tint="-0.24994659260841701"/>
        </patternFill>
      </fill>
    </dxf>
    <dxf>
      <fill>
        <patternFill>
          <bgColor rgb="FF007846"/>
        </patternFill>
      </fill>
    </dxf>
    <dxf>
      <fill>
        <patternFill>
          <bgColor theme="9" tint="-0.24994659260841701"/>
        </patternFill>
      </fill>
    </dxf>
    <dxf>
      <fill>
        <patternFill>
          <bgColor rgb="FF007846"/>
        </patternFill>
      </fill>
    </dxf>
    <dxf>
      <font>
        <color theme="0"/>
      </font>
    </dxf>
    <dxf>
      <font>
        <b/>
        <i val="0"/>
        <color rgb="FF009641"/>
      </font>
      <border>
        <left style="thin">
          <color rgb="FF009641"/>
        </left>
        <right style="thin">
          <color rgb="FF009641"/>
        </right>
        <top style="thin">
          <color rgb="FF009641"/>
        </top>
        <bottom style="thin">
          <color rgb="FF009641"/>
        </bottom>
      </border>
    </dxf>
    <dxf>
      <font>
        <b/>
        <i val="0"/>
      </font>
    </dxf>
    <dxf>
      <font>
        <b/>
        <i val="0"/>
        <color rgb="FF660066"/>
      </font>
      <fill>
        <patternFill>
          <bgColor theme="9" tint="0.79998168889431442"/>
        </patternFill>
      </fill>
    </dxf>
    <dxf>
      <font>
        <b/>
        <i val="0"/>
        <color rgb="FF7030A0"/>
      </font>
    </dxf>
    <dxf>
      <font>
        <b/>
        <i val="0"/>
        <color rgb="FF7030A0"/>
      </font>
    </dxf>
    <dxf>
      <font>
        <b/>
        <i val="0"/>
        <color rgb="FF7030A0"/>
      </font>
    </dxf>
    <dxf>
      <font>
        <b/>
        <i val="0"/>
        <strike val="0"/>
        <color theme="0" tint="-0.499984740745262"/>
      </font>
      <border>
        <left style="thin">
          <color rgb="FF7030A0"/>
        </left>
        <right style="thin">
          <color rgb="FF7030A0"/>
        </right>
        <top style="thin">
          <color rgb="FF7030A0"/>
        </top>
        <bottom style="thin">
          <color rgb="FF7030A0"/>
        </bottom>
        <vertical/>
        <horizontal/>
      </border>
    </dxf>
    <dxf>
      <font>
        <color theme="7" tint="0.79998168889431442"/>
      </font>
      <fill>
        <patternFill>
          <bgColor theme="9" tint="-0.499984740745262"/>
        </patternFill>
      </fill>
    </dxf>
    <dxf>
      <font>
        <color theme="7" tint="0.79998168889431442"/>
      </font>
      <fill>
        <patternFill>
          <bgColor rgb="FF660066"/>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ont>
        <color rgb="FFD2FFE6"/>
      </font>
      <fill>
        <patternFill>
          <bgColor rgb="FF007846"/>
        </patternFill>
      </fill>
    </dxf>
    <dxf>
      <font>
        <b/>
        <i val="0"/>
        <color theme="1" tint="0.499984740745262"/>
      </font>
    </dxf>
    <dxf>
      <font>
        <color theme="1" tint="0.499984740745262"/>
      </font>
    </dxf>
    <dxf>
      <font>
        <strike val="0"/>
        <color theme="7" tint="0.79998168889431442"/>
      </font>
      <fill>
        <patternFill>
          <fgColor auto="1"/>
          <bgColor theme="1"/>
        </patternFill>
      </fill>
    </dxf>
    <dxf>
      <font>
        <strike val="0"/>
        <color theme="7" tint="0.79998168889431442"/>
      </font>
      <fill>
        <patternFill>
          <fgColor auto="1"/>
          <bgColor theme="1"/>
        </patternFill>
      </fill>
    </dxf>
    <dxf>
      <font>
        <strike val="0"/>
        <color theme="7" tint="0.79998168889431442"/>
      </font>
      <fill>
        <patternFill>
          <bgColor theme="1"/>
        </patternFill>
      </fill>
    </dxf>
    <dxf>
      <font>
        <b/>
        <i val="0"/>
        <strike val="0"/>
        <color theme="0" tint="-0.499984740745262"/>
      </font>
      <border>
        <left style="thin">
          <color rgb="FF7030A0"/>
        </left>
        <right style="thin">
          <color rgb="FF7030A0"/>
        </right>
        <top style="thin">
          <color rgb="FF7030A0"/>
        </top>
        <bottom style="thin">
          <color rgb="FF7030A0"/>
        </bottom>
        <vertical/>
        <horizontal/>
      </border>
    </dxf>
    <dxf>
      <font>
        <color theme="7" tint="0.79998168889431442"/>
      </font>
      <fill>
        <patternFill>
          <bgColor theme="1"/>
        </patternFill>
      </fill>
      <border>
        <left/>
        <right/>
        <top style="thin">
          <color theme="7" tint="-0.24994659260841701"/>
        </top>
        <bottom/>
      </border>
    </dxf>
  </dxfs>
  <tableStyles count="0" defaultTableStyle="TableStyleMedium2" defaultPivotStyle="PivotStyleLight16"/>
  <colors>
    <mruColors>
      <color rgb="FF780091"/>
      <color rgb="FFA5FFC8"/>
      <color rgb="FFFF99FF"/>
      <color rgb="FFCC00CC"/>
      <color rgb="FF005A28"/>
      <color rgb="FF99FF99"/>
      <color rgb="FFCCFFCC"/>
      <color rgb="FFD2FFE6"/>
      <color rgb="FFFFCCFF"/>
      <color rgb="FF00823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hyperlink" Target="#HP!A1425:N1515"/><Relationship Id="rId3" Type="http://schemas.openxmlformats.org/officeDocument/2006/relationships/image" Target="../media/image3.png"/><Relationship Id="rId7" Type="http://schemas.openxmlformats.org/officeDocument/2006/relationships/hyperlink" Target="#HP!A1331:N1424"/><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hyperlink" Target="#HP!A1238:N1330"/><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image" Target="../media/image20.png"/><Relationship Id="rId26" Type="http://schemas.openxmlformats.org/officeDocument/2006/relationships/hyperlink" Target="#clients!A23:N53"/><Relationship Id="rId39" Type="http://schemas.openxmlformats.org/officeDocument/2006/relationships/image" Target="../media/image37.png"/><Relationship Id="rId3" Type="http://schemas.openxmlformats.org/officeDocument/2006/relationships/image" Target="../media/image6.png"/><Relationship Id="rId21" Type="http://schemas.openxmlformats.org/officeDocument/2006/relationships/image" Target="../media/image23.png"/><Relationship Id="rId34" Type="http://schemas.openxmlformats.org/officeDocument/2006/relationships/image" Target="../media/image33.jpeg"/><Relationship Id="rId42" Type="http://schemas.openxmlformats.org/officeDocument/2006/relationships/hyperlink" Target="https://www.valuerelating.com/about" TargetMode="External"/><Relationship Id="rId47" Type="http://schemas.openxmlformats.org/officeDocument/2006/relationships/image" Target="../media/image43.png"/><Relationship Id="rId50" Type="http://schemas.openxmlformats.org/officeDocument/2006/relationships/hyperlink" Target="https://youtu.be/vBAlAlQd6VY" TargetMode="External"/><Relationship Id="rId7" Type="http://schemas.openxmlformats.org/officeDocument/2006/relationships/image" Target="../media/image10.png"/><Relationship Id="rId12" Type="http://schemas.openxmlformats.org/officeDocument/2006/relationships/image" Target="../media/image15.png"/><Relationship Id="rId17" Type="http://schemas.openxmlformats.org/officeDocument/2006/relationships/hyperlink" Target="#clients!A54:N88"/><Relationship Id="rId25" Type="http://schemas.microsoft.com/office/2007/relationships/hdphoto" Target="../media/hdphoto1.wdp"/><Relationship Id="rId33" Type="http://schemas.openxmlformats.org/officeDocument/2006/relationships/image" Target="../media/image32.jpeg"/><Relationship Id="rId38" Type="http://schemas.openxmlformats.org/officeDocument/2006/relationships/image" Target="../media/image36.png"/><Relationship Id="rId46" Type="http://schemas.openxmlformats.org/officeDocument/2006/relationships/image" Target="../media/image42.png"/><Relationship Id="rId2" Type="http://schemas.openxmlformats.org/officeDocument/2006/relationships/hyperlink" Target="#HP!A1:N1"/><Relationship Id="rId16" Type="http://schemas.openxmlformats.org/officeDocument/2006/relationships/image" Target="../media/image19.png"/><Relationship Id="rId20" Type="http://schemas.openxmlformats.org/officeDocument/2006/relationships/image" Target="../media/image22.png"/><Relationship Id="rId29" Type="http://schemas.openxmlformats.org/officeDocument/2006/relationships/image" Target="../media/image28.png"/><Relationship Id="rId41" Type="http://schemas.openxmlformats.org/officeDocument/2006/relationships/image" Target="../media/image39.png"/><Relationship Id="rId1" Type="http://schemas.openxmlformats.org/officeDocument/2006/relationships/image" Target="../media/image2.png"/><Relationship Id="rId6" Type="http://schemas.openxmlformats.org/officeDocument/2006/relationships/image" Target="../media/image9.png"/><Relationship Id="rId11" Type="http://schemas.openxmlformats.org/officeDocument/2006/relationships/image" Target="../media/image14.png"/><Relationship Id="rId24" Type="http://schemas.openxmlformats.org/officeDocument/2006/relationships/image" Target="../media/image26.png"/><Relationship Id="rId32" Type="http://schemas.openxmlformats.org/officeDocument/2006/relationships/image" Target="../media/image31.jpeg"/><Relationship Id="rId37" Type="http://schemas.openxmlformats.org/officeDocument/2006/relationships/hyperlink" Target="https://www.valuerelating.com" TargetMode="External"/><Relationship Id="rId40" Type="http://schemas.openxmlformats.org/officeDocument/2006/relationships/image" Target="../media/image38.png"/><Relationship Id="rId45" Type="http://schemas.openxmlformats.org/officeDocument/2006/relationships/image" Target="../media/image41.png"/><Relationship Id="rId5" Type="http://schemas.openxmlformats.org/officeDocument/2006/relationships/image" Target="../media/image8.png"/><Relationship Id="rId15" Type="http://schemas.openxmlformats.org/officeDocument/2006/relationships/image" Target="../media/image18.png"/><Relationship Id="rId23" Type="http://schemas.openxmlformats.org/officeDocument/2006/relationships/image" Target="../media/image25.jpeg"/><Relationship Id="rId28" Type="http://schemas.openxmlformats.org/officeDocument/2006/relationships/image" Target="../media/image27.png"/><Relationship Id="rId36" Type="http://schemas.openxmlformats.org/officeDocument/2006/relationships/image" Target="../media/image35.jpeg"/><Relationship Id="rId49" Type="http://schemas.openxmlformats.org/officeDocument/2006/relationships/hyperlink" Target="https://www.valuerelating.com/sttp-hp" TargetMode="External"/><Relationship Id="rId10" Type="http://schemas.openxmlformats.org/officeDocument/2006/relationships/image" Target="../media/image13.png"/><Relationship Id="rId19" Type="http://schemas.openxmlformats.org/officeDocument/2006/relationships/image" Target="../media/image21.png"/><Relationship Id="rId31" Type="http://schemas.openxmlformats.org/officeDocument/2006/relationships/image" Target="../media/image30.jpeg"/><Relationship Id="rId44" Type="http://schemas.openxmlformats.org/officeDocument/2006/relationships/hyperlink" Target="https://www.valuerelating.com/anankelogy" TargetMode="External"/><Relationship Id="rId52" Type="http://schemas.openxmlformats.org/officeDocument/2006/relationships/hyperlink" Target="#clients!A89:N89"/><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 Id="rId22" Type="http://schemas.openxmlformats.org/officeDocument/2006/relationships/image" Target="../media/image24.png"/><Relationship Id="rId27" Type="http://schemas.openxmlformats.org/officeDocument/2006/relationships/hyperlink" Target="#HP!A1:N5"/><Relationship Id="rId30" Type="http://schemas.openxmlformats.org/officeDocument/2006/relationships/image" Target="../media/image29.png"/><Relationship Id="rId35" Type="http://schemas.openxmlformats.org/officeDocument/2006/relationships/image" Target="../media/image34.jpeg"/><Relationship Id="rId43" Type="http://schemas.openxmlformats.org/officeDocument/2006/relationships/image" Target="../media/image40.jpeg"/><Relationship Id="rId48" Type="http://schemas.openxmlformats.org/officeDocument/2006/relationships/hyperlink" Target="https://www.valuerelating.com/sttp-4s" TargetMode="External"/><Relationship Id="rId8" Type="http://schemas.openxmlformats.org/officeDocument/2006/relationships/image" Target="../media/image11.png"/><Relationship Id="rId51" Type="http://schemas.openxmlformats.org/officeDocument/2006/relationships/image" Target="../media/image44.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31.jpeg"/><Relationship Id="rId18" Type="http://schemas.openxmlformats.org/officeDocument/2006/relationships/hyperlink" Target="https://www.valuerelating.com" TargetMode="External"/><Relationship Id="rId26" Type="http://schemas.microsoft.com/office/2007/relationships/hdphoto" Target="../media/hdphoto1.wdp"/><Relationship Id="rId39" Type="http://schemas.openxmlformats.org/officeDocument/2006/relationships/image" Target="../media/image57.png"/><Relationship Id="rId21" Type="http://schemas.openxmlformats.org/officeDocument/2006/relationships/hyperlink" Target="https://www.valuerelating.com/anankelogy" TargetMode="External"/><Relationship Id="rId34" Type="http://schemas.openxmlformats.org/officeDocument/2006/relationships/image" Target="../media/image52.png"/><Relationship Id="rId42" Type="http://schemas.openxmlformats.org/officeDocument/2006/relationships/image" Target="../media/image59.png"/><Relationship Id="rId47" Type="http://schemas.openxmlformats.org/officeDocument/2006/relationships/image" Target="../media/image63.png"/><Relationship Id="rId50" Type="http://schemas.openxmlformats.org/officeDocument/2006/relationships/image" Target="../media/image9.png"/><Relationship Id="rId55" Type="http://schemas.openxmlformats.org/officeDocument/2006/relationships/hyperlink" Target="https://www.valuerelating.com/plans-pricing-1" TargetMode="External"/><Relationship Id="rId7" Type="http://schemas.openxmlformats.org/officeDocument/2006/relationships/image" Target="../media/image12.png"/><Relationship Id="rId12" Type="http://schemas.openxmlformats.org/officeDocument/2006/relationships/image" Target="../media/image30.jpeg"/><Relationship Id="rId17" Type="http://schemas.openxmlformats.org/officeDocument/2006/relationships/image" Target="../media/image35.jpeg"/><Relationship Id="rId25" Type="http://schemas.openxmlformats.org/officeDocument/2006/relationships/image" Target="../media/image26.png"/><Relationship Id="rId33" Type="http://schemas.openxmlformats.org/officeDocument/2006/relationships/image" Target="../media/image51.png"/><Relationship Id="rId38" Type="http://schemas.openxmlformats.org/officeDocument/2006/relationships/image" Target="../media/image56.png"/><Relationship Id="rId46" Type="http://schemas.openxmlformats.org/officeDocument/2006/relationships/image" Target="../media/image62.png"/><Relationship Id="rId2" Type="http://schemas.openxmlformats.org/officeDocument/2006/relationships/hyperlink" Target="#HP!A1:N1"/><Relationship Id="rId16" Type="http://schemas.openxmlformats.org/officeDocument/2006/relationships/image" Target="../media/image34.jpeg"/><Relationship Id="rId20" Type="http://schemas.openxmlformats.org/officeDocument/2006/relationships/image" Target="../media/image40.jpeg"/><Relationship Id="rId29" Type="http://schemas.openxmlformats.org/officeDocument/2006/relationships/hyperlink" Target="https://www.valuerelating.com/ipm" TargetMode="External"/><Relationship Id="rId41" Type="http://schemas.openxmlformats.org/officeDocument/2006/relationships/image" Target="../media/image58.png"/><Relationship Id="rId54" Type="http://schemas.openxmlformats.org/officeDocument/2006/relationships/image" Target="../media/image66.png"/><Relationship Id="rId1" Type="http://schemas.openxmlformats.org/officeDocument/2006/relationships/image" Target="../media/image2.png"/><Relationship Id="rId6" Type="http://schemas.openxmlformats.org/officeDocument/2006/relationships/image" Target="../media/image11.png"/><Relationship Id="rId11" Type="http://schemas.openxmlformats.org/officeDocument/2006/relationships/hyperlink" Target="#HP!A1:N5"/><Relationship Id="rId24" Type="http://schemas.openxmlformats.org/officeDocument/2006/relationships/hyperlink" Target="https://www.valuerelating.com/contact" TargetMode="External"/><Relationship Id="rId32" Type="http://schemas.openxmlformats.org/officeDocument/2006/relationships/image" Target="../media/image50.png"/><Relationship Id="rId37" Type="http://schemas.openxmlformats.org/officeDocument/2006/relationships/image" Target="../media/image55.png"/><Relationship Id="rId40" Type="http://schemas.microsoft.com/office/2007/relationships/hdphoto" Target="../media/hdphoto2.wdp"/><Relationship Id="rId45" Type="http://schemas.openxmlformats.org/officeDocument/2006/relationships/image" Target="../media/image61.png"/><Relationship Id="rId53" Type="http://schemas.openxmlformats.org/officeDocument/2006/relationships/image" Target="../media/image65.png"/><Relationship Id="rId58" Type="http://schemas.microsoft.com/office/2007/relationships/hdphoto" Target="../media/hdphoto4.wdp"/><Relationship Id="rId5" Type="http://schemas.openxmlformats.org/officeDocument/2006/relationships/image" Target="../media/image7.png"/><Relationship Id="rId15" Type="http://schemas.openxmlformats.org/officeDocument/2006/relationships/image" Target="../media/image33.jpeg"/><Relationship Id="rId23" Type="http://schemas.openxmlformats.org/officeDocument/2006/relationships/hyperlink" Target="#advocacy!A90:N90"/><Relationship Id="rId28" Type="http://schemas.openxmlformats.org/officeDocument/2006/relationships/image" Target="../media/image47.png"/><Relationship Id="rId36" Type="http://schemas.openxmlformats.org/officeDocument/2006/relationships/image" Target="../media/image54.png"/><Relationship Id="rId49" Type="http://schemas.openxmlformats.org/officeDocument/2006/relationships/image" Target="../media/image8.png"/><Relationship Id="rId57" Type="http://schemas.openxmlformats.org/officeDocument/2006/relationships/image" Target="../media/image68.png"/><Relationship Id="rId10" Type="http://schemas.openxmlformats.org/officeDocument/2006/relationships/hyperlink" Target="#advocacy!A23:N54"/><Relationship Id="rId19" Type="http://schemas.openxmlformats.org/officeDocument/2006/relationships/hyperlink" Target="https://www.valuerelating.com/about" TargetMode="External"/><Relationship Id="rId31" Type="http://schemas.openxmlformats.org/officeDocument/2006/relationships/image" Target="../media/image49.png"/><Relationship Id="rId44" Type="http://schemas.microsoft.com/office/2007/relationships/hdphoto" Target="../media/hdphoto3.wdp"/><Relationship Id="rId52" Type="http://schemas.openxmlformats.org/officeDocument/2006/relationships/image" Target="../media/image43.png"/><Relationship Id="rId4" Type="http://schemas.openxmlformats.org/officeDocument/2006/relationships/image" Target="../media/image6.png"/><Relationship Id="rId9" Type="http://schemas.openxmlformats.org/officeDocument/2006/relationships/image" Target="../media/image14.png"/><Relationship Id="rId14" Type="http://schemas.openxmlformats.org/officeDocument/2006/relationships/image" Target="../media/image32.jpeg"/><Relationship Id="rId22" Type="http://schemas.openxmlformats.org/officeDocument/2006/relationships/image" Target="../media/image41.png"/><Relationship Id="rId27" Type="http://schemas.openxmlformats.org/officeDocument/2006/relationships/image" Target="../media/image46.png"/><Relationship Id="rId30" Type="http://schemas.openxmlformats.org/officeDocument/2006/relationships/image" Target="../media/image48.jpeg"/><Relationship Id="rId35" Type="http://schemas.openxmlformats.org/officeDocument/2006/relationships/image" Target="../media/image53.png"/><Relationship Id="rId43" Type="http://schemas.openxmlformats.org/officeDocument/2006/relationships/image" Target="../media/image60.png"/><Relationship Id="rId48" Type="http://schemas.openxmlformats.org/officeDocument/2006/relationships/image" Target="../media/image64.jpg"/><Relationship Id="rId56" Type="http://schemas.openxmlformats.org/officeDocument/2006/relationships/image" Target="../media/image67.png"/><Relationship Id="rId8" Type="http://schemas.openxmlformats.org/officeDocument/2006/relationships/image" Target="../media/image45.png"/><Relationship Id="rId51" Type="http://schemas.openxmlformats.org/officeDocument/2006/relationships/image" Target="../media/image42.png"/><Relationship Id="rId3" Type="http://schemas.openxmlformats.org/officeDocument/2006/relationships/hyperlink" Target="#advocacy!A1235"/></Relationships>
</file>

<file path=xl/drawings/_rels/vmlDrawing3.vml.rels><?xml version="1.0" encoding="UTF-8" standalone="yes"?>
<Relationships xmlns="http://schemas.openxmlformats.org/package/2006/relationships"><Relationship Id="rId1" Type="http://schemas.openxmlformats.org/officeDocument/2006/relationships/image" Target="../media/image69.png"/></Relationships>
</file>

<file path=xl/drawings/drawing1.xml><?xml version="1.0" encoding="utf-8"?>
<xdr:wsDr xmlns:xdr="http://schemas.openxmlformats.org/drawingml/2006/spreadsheetDrawing" xmlns:a="http://schemas.openxmlformats.org/drawingml/2006/main">
  <xdr:twoCellAnchor>
    <xdr:from>
      <xdr:col>1</xdr:col>
      <xdr:colOff>15240</xdr:colOff>
      <xdr:row>653</xdr:row>
      <xdr:rowOff>83840</xdr:rowOff>
    </xdr:from>
    <xdr:to>
      <xdr:col>12</xdr:col>
      <xdr:colOff>480060</xdr:colOff>
      <xdr:row>692</xdr:row>
      <xdr:rowOff>60968</xdr:rowOff>
    </xdr:to>
    <xdr:grpSp>
      <xdr:nvGrpSpPr>
        <xdr:cNvPr id="33" name="Group 32">
          <a:extLst>
            <a:ext uri="{FF2B5EF4-FFF2-40B4-BE49-F238E27FC236}">
              <a16:creationId xmlns:a16="http://schemas.microsoft.com/office/drawing/2014/main" id="{00000000-0008-0000-0200-000021000000}"/>
            </a:ext>
          </a:extLst>
        </xdr:cNvPr>
        <xdr:cNvGrpSpPr/>
      </xdr:nvGrpSpPr>
      <xdr:grpSpPr>
        <a:xfrm>
          <a:off x="129540" y="128633240"/>
          <a:ext cx="5996940" cy="6911328"/>
          <a:chOff x="76200" y="102595681"/>
          <a:chExt cx="5913120" cy="6951626"/>
        </a:xfrm>
      </xdr:grpSpPr>
      <xdr:grpSp>
        <xdr:nvGrpSpPr>
          <xdr:cNvPr id="882" name="Group 881">
            <a:extLst>
              <a:ext uri="{FF2B5EF4-FFF2-40B4-BE49-F238E27FC236}">
                <a16:creationId xmlns:a16="http://schemas.microsoft.com/office/drawing/2014/main" id="{00000000-0008-0000-0200-000072030000}"/>
              </a:ext>
            </a:extLst>
          </xdr:cNvPr>
          <xdr:cNvGrpSpPr>
            <a:grpSpLocks noChangeAspect="1"/>
          </xdr:cNvGrpSpPr>
        </xdr:nvGrpSpPr>
        <xdr:grpSpPr>
          <a:xfrm>
            <a:off x="76200" y="102595681"/>
            <a:ext cx="5913120" cy="6951626"/>
            <a:chOff x="-304800" y="30807660"/>
            <a:chExt cx="11826240" cy="13903251"/>
          </a:xfrm>
        </xdr:grpSpPr>
        <xdr:sp macro="" textlink="">
          <xdr:nvSpPr>
            <xdr:cNvPr id="883" name="yellow separator">
              <a:extLst>
                <a:ext uri="{FF2B5EF4-FFF2-40B4-BE49-F238E27FC236}">
                  <a16:creationId xmlns:a16="http://schemas.microsoft.com/office/drawing/2014/main" id="{00000000-0008-0000-0200-000073030000}"/>
                </a:ext>
              </a:extLst>
            </xdr:cNvPr>
            <xdr:cNvSpPr/>
          </xdr:nvSpPr>
          <xdr:spPr>
            <a:xfrm>
              <a:off x="-304800" y="30807660"/>
              <a:ext cx="11826240" cy="13903251"/>
            </a:xfrm>
            <a:prstGeom prst="rect">
              <a:avLst/>
            </a:prstGeom>
            <a:gradFill flip="none" rotWithShape="1">
              <a:gsLst>
                <a:gs pos="56000">
                  <a:srgbClr val="EBDCFF"/>
                </a:gs>
                <a:gs pos="100000">
                  <a:srgbClr val="FFCCCC"/>
                </a:gs>
                <a:gs pos="1000">
                  <a:schemeClr val="accent5">
                    <a:lumMod val="20000"/>
                    <a:lumOff val="80000"/>
                  </a:schemeClr>
                </a:gs>
              </a:gsLst>
              <a:lin ang="0" scaled="1"/>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84331" tIns="42165" rIns="84331" bIns="42165" numCol="1" spcCol="0" rtlCol="0" fromWordArt="0" anchor="ctr" anchorCtr="0" forceAA="0" compatLnSpc="1">
              <a:prstTxWarp prst="textNoShape">
                <a:avLst/>
              </a:prstTxWarp>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568"/>
            </a:p>
          </xdr:txBody>
        </xdr:sp>
        <xdr:sp macro="" textlink="">
          <xdr:nvSpPr>
            <xdr:cNvPr id="884" name="Wider relationship">
              <a:extLst>
                <a:ext uri="{FF2B5EF4-FFF2-40B4-BE49-F238E27FC236}">
                  <a16:creationId xmlns:a16="http://schemas.microsoft.com/office/drawing/2014/main" id="{00000000-0008-0000-0200-000074030000}"/>
                </a:ext>
              </a:extLst>
            </xdr:cNvPr>
            <xdr:cNvSpPr txBox="1">
              <a:spLocks/>
            </xdr:cNvSpPr>
          </xdr:nvSpPr>
          <xdr:spPr>
            <a:xfrm>
              <a:off x="234782" y="30861440"/>
              <a:ext cx="5211950"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nSpc>
                  <a:spcPct val="100000"/>
                </a:lnSpc>
                <a:buNone/>
              </a:pPr>
              <a:r>
                <a:rPr lang="en-US" sz="1400" b="1" spc="50">
                  <a:gradFill flip="none" rotWithShape="1">
                    <a:gsLst>
                      <a:gs pos="0">
                        <a:srgbClr val="0070C0">
                          <a:shade val="30000"/>
                          <a:satMod val="115000"/>
                        </a:srgbClr>
                      </a:gs>
                      <a:gs pos="50000">
                        <a:srgbClr val="0070C0">
                          <a:shade val="67500"/>
                          <a:satMod val="115000"/>
                        </a:srgbClr>
                      </a:gs>
                      <a:gs pos="100000">
                        <a:srgbClr val="0070C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sym typeface="Wingdings" panose="05000000000000000000" pitchFamily="2" charset="2"/>
                </a:rPr>
                <a:t> </a:t>
              </a:r>
              <a:r>
                <a:rPr lang="en-US" sz="1400" b="1" spc="50">
                  <a:gradFill flip="none" rotWithShape="1">
                    <a:gsLst>
                      <a:gs pos="0">
                        <a:srgbClr val="0070C0">
                          <a:shade val="30000"/>
                          <a:satMod val="115000"/>
                        </a:srgbClr>
                      </a:gs>
                      <a:gs pos="50000">
                        <a:srgbClr val="0070C0">
                          <a:shade val="67500"/>
                          <a:satMod val="115000"/>
                        </a:srgbClr>
                      </a:gs>
                      <a:gs pos="100000">
                        <a:srgbClr val="0070C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rPr>
                <a:t>Wider relationships</a:t>
              </a:r>
            </a:p>
          </xdr:txBody>
        </xdr:sp>
        <xdr:sp macro="" textlink="">
          <xdr:nvSpPr>
            <xdr:cNvPr id="885" name="Deeper relationships">
              <a:extLst>
                <a:ext uri="{FF2B5EF4-FFF2-40B4-BE49-F238E27FC236}">
                  <a16:creationId xmlns:a16="http://schemas.microsoft.com/office/drawing/2014/main" id="{00000000-0008-0000-0200-000075030000}"/>
                </a:ext>
              </a:extLst>
            </xdr:cNvPr>
            <xdr:cNvSpPr txBox="1">
              <a:spLocks/>
            </xdr:cNvSpPr>
          </xdr:nvSpPr>
          <xdr:spPr>
            <a:xfrm>
              <a:off x="5758946" y="30861440"/>
              <a:ext cx="5230814"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rPr>
                <a:t>Deeper relationships </a:t>
              </a:r>
              <a:r>
                <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sym typeface="Wingdings" panose="05000000000000000000" pitchFamily="2" charset="2"/>
                </a:rPr>
                <a:t></a:t>
              </a:r>
              <a:endPar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endParaRPr>
            </a:p>
          </xdr:txBody>
        </xdr:sp>
        <xdr:sp macro="" textlink="">
          <xdr:nvSpPr>
            <xdr:cNvPr id="886" name="Rectangle: Rounded Corners 885">
              <a:extLst>
                <a:ext uri="{FF2B5EF4-FFF2-40B4-BE49-F238E27FC236}">
                  <a16:creationId xmlns:a16="http://schemas.microsoft.com/office/drawing/2014/main" id="{00000000-0008-0000-0200-000076030000}"/>
                </a:ext>
              </a:extLst>
            </xdr:cNvPr>
            <xdr:cNvSpPr/>
          </xdr:nvSpPr>
          <xdr:spPr>
            <a:xfrm>
              <a:off x="202398" y="31439680"/>
              <a:ext cx="10800884" cy="1906872"/>
            </a:xfrm>
            <a:prstGeom prst="roundRect">
              <a:avLst>
                <a:gd name="adj" fmla="val 6709"/>
              </a:avLst>
            </a:prstGeom>
            <a:gradFill flip="none" rotWithShape="1">
              <a:gsLst>
                <a:gs pos="0">
                  <a:srgbClr val="00B0F0"/>
                </a:gs>
                <a:gs pos="98701">
                  <a:srgbClr val="FF0000"/>
                </a:gs>
                <a:gs pos="40000">
                  <a:srgbClr val="CC66FF"/>
                </a:gs>
                <a:gs pos="50000">
                  <a:srgbClr val="DE51ED"/>
                </a:gs>
                <a:gs pos="60000">
                  <a:srgbClr val="FF33FF"/>
                </a:gs>
              </a:gsLst>
              <a:lin ang="0" scaled="1"/>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887" name="Arrow: Left-Right 886">
              <a:extLst>
                <a:ext uri="{FF2B5EF4-FFF2-40B4-BE49-F238E27FC236}">
                  <a16:creationId xmlns:a16="http://schemas.microsoft.com/office/drawing/2014/main" id="{00000000-0008-0000-0200-000077030000}"/>
                </a:ext>
              </a:extLst>
            </xdr:cNvPr>
            <xdr:cNvSpPr/>
          </xdr:nvSpPr>
          <xdr:spPr>
            <a:xfrm>
              <a:off x="-121918" y="31634256"/>
              <a:ext cx="11430000" cy="1509277"/>
            </a:xfrm>
            <a:prstGeom prst="leftRightArrow">
              <a:avLst>
                <a:gd name="adj1" fmla="val 86765"/>
                <a:gd name="adj2" fmla="val 16176"/>
              </a:avLst>
            </a:prstGeom>
            <a:gradFill flip="none" rotWithShape="1">
              <a:gsLst>
                <a:gs pos="0">
                  <a:srgbClr val="00B0F0"/>
                </a:gs>
                <a:gs pos="20000">
                  <a:srgbClr val="9BE5FF"/>
                </a:gs>
                <a:gs pos="100000">
                  <a:srgbClr val="FF0000"/>
                </a:gs>
                <a:gs pos="65000">
                  <a:srgbClr val="9BE5FF"/>
                </a:gs>
                <a:gs pos="35000">
                  <a:srgbClr val="FF99CC"/>
                </a:gs>
                <a:gs pos="50000">
                  <a:srgbClr val="F3D5FF"/>
                </a:gs>
                <a:gs pos="80000">
                  <a:srgbClr val="FF99CC"/>
                </a:gs>
              </a:gsLst>
              <a:lin ang="0" scaled="1"/>
              <a:tileRect/>
            </a:gradFill>
            <a:ln w="19050">
              <a:solidFill>
                <a:srgbClr val="FFB3FF"/>
              </a:solidFill>
            </a:ln>
            <a:effectLst>
              <a:outerShdw blurRad="63500" sx="102000" sy="102000" algn="ctr" rotWithShape="0">
                <a:srgbClr val="C204E2">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888" name="Arrow: Deep-focus">
              <a:extLst>
                <a:ext uri="{FF2B5EF4-FFF2-40B4-BE49-F238E27FC236}">
                  <a16:creationId xmlns:a16="http://schemas.microsoft.com/office/drawing/2014/main" id="{00000000-0008-0000-0200-000078030000}"/>
                </a:ext>
              </a:extLst>
            </xdr:cNvPr>
            <xdr:cNvSpPr/>
          </xdr:nvSpPr>
          <xdr:spPr>
            <a:xfrm>
              <a:off x="6987570" y="31380483"/>
              <a:ext cx="3840480" cy="365748"/>
            </a:xfrm>
            <a:prstGeom prst="homePlate">
              <a:avLst/>
            </a:prstGeom>
            <a:gradFill flip="none" rotWithShape="1">
              <a:gsLst>
                <a:gs pos="98701">
                  <a:srgbClr val="CC00CC"/>
                </a:gs>
                <a:gs pos="0">
                  <a:srgbClr val="960000"/>
                </a:gs>
                <a:gs pos="78000">
                  <a:srgbClr val="C00000"/>
                </a:gs>
              </a:gsLst>
              <a:lin ang="10800000" scaled="1"/>
              <a:tileRect/>
            </a:gradFill>
            <a:ln>
              <a:noFill/>
            </a:ln>
            <a:effectLst>
              <a:innerShdw blurRad="50800" dist="25400" dir="16200000">
                <a:schemeClr val="bg1"/>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rIns="0"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marL="0" lvl="1" algn="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social-needs </a:t>
              </a:r>
              <a:r>
                <a:rPr lang="en-US" sz="800" i="1">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less urgent than </a:t>
              </a: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self-needs</a:t>
              </a:r>
            </a:p>
          </xdr:txBody>
        </xdr:sp>
        <xdr:sp macro="" textlink="">
          <xdr:nvSpPr>
            <xdr:cNvPr id="889" name="Arrow: Wide-focus">
              <a:extLst>
                <a:ext uri="{FF2B5EF4-FFF2-40B4-BE49-F238E27FC236}">
                  <a16:creationId xmlns:a16="http://schemas.microsoft.com/office/drawing/2014/main" id="{00000000-0008-0000-0200-000079030000}"/>
                </a:ext>
              </a:extLst>
            </xdr:cNvPr>
            <xdr:cNvSpPr/>
          </xdr:nvSpPr>
          <xdr:spPr>
            <a:xfrm flipH="1">
              <a:off x="400730" y="31380688"/>
              <a:ext cx="3840480" cy="365748"/>
            </a:xfrm>
            <a:prstGeom prst="homePlate">
              <a:avLst/>
            </a:prstGeom>
            <a:gradFill flip="none" rotWithShape="1">
              <a:gsLst>
                <a:gs pos="98701">
                  <a:srgbClr val="CC00CC"/>
                </a:gs>
                <a:gs pos="0">
                  <a:srgbClr val="0070C0"/>
                </a:gs>
                <a:gs pos="78000">
                  <a:srgbClr val="7030A0"/>
                </a:gs>
              </a:gsLst>
              <a:lin ang="10800000" scaled="1"/>
              <a:tileRect/>
            </a:gradFill>
            <a:ln>
              <a:noFill/>
            </a:ln>
            <a:effectLst>
              <a:innerShdw blurRad="50800" dist="25400" dir="16200000">
                <a:schemeClr val="bg1"/>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rIns="0"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marL="0" lvl="1"/>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self-needs </a:t>
              </a:r>
              <a:r>
                <a:rPr lang="en-US" sz="800" i="1">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less urgent than </a:t>
              </a: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social-needs</a:t>
              </a:r>
            </a:p>
          </xdr:txBody>
        </xdr:sp>
        <xdr:sp macro="" textlink="">
          <xdr:nvSpPr>
            <xdr:cNvPr id="890" name="wide-yet-shallow">
              <a:extLst>
                <a:ext uri="{FF2B5EF4-FFF2-40B4-BE49-F238E27FC236}">
                  <a16:creationId xmlns:a16="http://schemas.microsoft.com/office/drawing/2014/main" id="{00000000-0008-0000-0200-00007A030000}"/>
                </a:ext>
              </a:extLst>
            </xdr:cNvPr>
            <xdr:cNvSpPr/>
          </xdr:nvSpPr>
          <xdr:spPr>
            <a:xfrm>
              <a:off x="845222" y="31918020"/>
              <a:ext cx="1417384"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005AA2"/>
                    </a:solidFill>
                    <a:prstDash val="solid"/>
                  </a:ln>
                  <a:solidFill>
                    <a:srgbClr val="00B0F0"/>
                  </a:solidFill>
                  <a:effectLst>
                    <a:glow rad="25400">
                      <a:schemeClr val="bg1"/>
                    </a:glow>
                    <a:innerShdw blurRad="114300">
                      <a:prstClr val="black"/>
                    </a:innerShdw>
                  </a:effectLst>
                  <a:latin typeface="Arial Narrow" panose="020B0606020202030204" pitchFamily="34" charset="0"/>
                </a:rPr>
                <a:t>wide-yet-shallow</a:t>
              </a:r>
            </a:p>
          </xdr:txBody>
        </xdr:sp>
        <xdr:sp macro="" textlink="">
          <xdr:nvSpPr>
            <xdr:cNvPr id="891" name="deep-yet-narrow">
              <a:extLst>
                <a:ext uri="{FF2B5EF4-FFF2-40B4-BE49-F238E27FC236}">
                  <a16:creationId xmlns:a16="http://schemas.microsoft.com/office/drawing/2014/main" id="{00000000-0008-0000-0200-00007B030000}"/>
                </a:ext>
              </a:extLst>
            </xdr:cNvPr>
            <xdr:cNvSpPr/>
          </xdr:nvSpPr>
          <xdr:spPr>
            <a:xfrm>
              <a:off x="9024653" y="31918021"/>
              <a:ext cx="1262267" cy="1206120"/>
            </a:xfrm>
            <a:prstGeom prst="rect">
              <a:avLst/>
            </a:prstGeom>
            <a:noFill/>
            <a:ln>
              <a:noFill/>
            </a:ln>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640000"/>
                    </a:solidFill>
                    <a:prstDash val="solid"/>
                  </a:ln>
                  <a:solidFill>
                    <a:srgbClr val="FF0000"/>
                  </a:solidFill>
                  <a:effectLst>
                    <a:glow rad="25400">
                      <a:schemeClr val="bg1"/>
                    </a:glow>
                    <a:innerShdw blurRad="114300">
                      <a:prstClr val="black"/>
                    </a:innerShdw>
                  </a:effectLst>
                  <a:latin typeface="Arial Narrow" panose="020B0606020202030204" pitchFamily="34" charset="0"/>
                </a:rPr>
                <a:t>deep-yet-narrow</a:t>
              </a:r>
            </a:p>
          </xdr:txBody>
        </xdr:sp>
        <xdr:sp macro="" textlink="">
          <xdr:nvSpPr>
            <xdr:cNvPr id="892" name="wide-then-deep">
              <a:extLst>
                <a:ext uri="{FF2B5EF4-FFF2-40B4-BE49-F238E27FC236}">
                  <a16:creationId xmlns:a16="http://schemas.microsoft.com/office/drawing/2014/main" id="{00000000-0008-0000-0200-00007C030000}"/>
                </a:ext>
              </a:extLst>
            </xdr:cNvPr>
            <xdr:cNvSpPr/>
          </xdr:nvSpPr>
          <xdr:spPr>
            <a:xfrm>
              <a:off x="2417528" y="31918020"/>
              <a:ext cx="1471048"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005AA2"/>
                    </a:solidFill>
                    <a:prstDash val="solid"/>
                  </a:ln>
                  <a:solidFill>
                    <a:srgbClr val="B7E4FF"/>
                  </a:solidFill>
                  <a:effectLst>
                    <a:glow rad="25400">
                      <a:schemeClr val="bg1"/>
                    </a:glow>
                    <a:innerShdw blurRad="114300">
                      <a:prstClr val="black"/>
                    </a:innerShdw>
                  </a:effectLst>
                  <a:latin typeface="Arial Narrow" panose="020B0606020202030204" pitchFamily="34" charset="0"/>
                </a:rPr>
                <a:t>wide-then-deep</a:t>
              </a:r>
            </a:p>
          </xdr:txBody>
        </xdr:sp>
        <xdr:sp macro="" textlink="">
          <xdr:nvSpPr>
            <xdr:cNvPr id="893" name="deep-then-wide">
              <a:extLst>
                <a:ext uri="{FF2B5EF4-FFF2-40B4-BE49-F238E27FC236}">
                  <a16:creationId xmlns:a16="http://schemas.microsoft.com/office/drawing/2014/main" id="{00000000-0008-0000-0200-00007D030000}"/>
                </a:ext>
              </a:extLst>
            </xdr:cNvPr>
            <xdr:cNvSpPr/>
          </xdr:nvSpPr>
          <xdr:spPr>
            <a:xfrm>
              <a:off x="7379910" y="31918020"/>
              <a:ext cx="1471048"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640000"/>
                    </a:solidFill>
                    <a:prstDash val="solid"/>
                  </a:ln>
                  <a:solidFill>
                    <a:srgbClr val="FFA3A3"/>
                  </a:solidFill>
                  <a:effectLst>
                    <a:glow rad="25400">
                      <a:schemeClr val="bg1"/>
                    </a:glow>
                    <a:innerShdw blurRad="114300">
                      <a:prstClr val="black"/>
                    </a:innerShdw>
                  </a:effectLst>
                  <a:latin typeface="Arial Narrow" panose="020B0606020202030204" pitchFamily="34" charset="0"/>
                </a:rPr>
                <a:t>deep-then-wide</a:t>
              </a:r>
            </a:p>
          </xdr:txBody>
        </xdr:sp>
        <xdr:sp macro="" textlink="">
          <xdr:nvSpPr>
            <xdr:cNvPr id="894" name="wide-and-deep">
              <a:extLst>
                <a:ext uri="{FF2B5EF4-FFF2-40B4-BE49-F238E27FC236}">
                  <a16:creationId xmlns:a16="http://schemas.microsoft.com/office/drawing/2014/main" id="{00000000-0008-0000-0200-00007E030000}"/>
                </a:ext>
              </a:extLst>
            </xdr:cNvPr>
            <xdr:cNvSpPr/>
          </xdr:nvSpPr>
          <xdr:spPr>
            <a:xfrm>
              <a:off x="4213250" y="31918020"/>
              <a:ext cx="1073774" cy="122136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7030A0"/>
                    </a:solidFill>
                    <a:prstDash val="solid"/>
                  </a:ln>
                  <a:solidFill>
                    <a:srgbClr val="CC66FF"/>
                  </a:solidFill>
                  <a:effectLst>
                    <a:glow rad="25400">
                      <a:schemeClr val="bg1"/>
                    </a:glow>
                    <a:innerShdw blurRad="114300">
                      <a:prstClr val="black"/>
                    </a:innerShdw>
                  </a:effectLst>
                  <a:latin typeface="Arial Narrow" panose="020B0606020202030204" pitchFamily="34" charset="0"/>
                </a:rPr>
                <a:t>wide-and-deep</a:t>
              </a:r>
            </a:p>
          </xdr:txBody>
        </xdr:sp>
        <xdr:sp macro="" textlink="">
          <xdr:nvSpPr>
            <xdr:cNvPr id="895" name="deep-and-wide">
              <a:extLst>
                <a:ext uri="{FF2B5EF4-FFF2-40B4-BE49-F238E27FC236}">
                  <a16:creationId xmlns:a16="http://schemas.microsoft.com/office/drawing/2014/main" id="{00000000-0008-0000-0200-00007F030000}"/>
                </a:ext>
              </a:extLst>
            </xdr:cNvPr>
            <xdr:cNvSpPr/>
          </xdr:nvSpPr>
          <xdr:spPr>
            <a:xfrm>
              <a:off x="6062284" y="31918020"/>
              <a:ext cx="981866" cy="122136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7030A0"/>
                    </a:solidFill>
                    <a:prstDash val="solid"/>
                  </a:ln>
                  <a:solidFill>
                    <a:srgbClr val="FF33FF"/>
                  </a:solidFill>
                  <a:effectLst>
                    <a:glow rad="25400">
                      <a:schemeClr val="bg1"/>
                    </a:glow>
                    <a:innerShdw blurRad="114300">
                      <a:prstClr val="black"/>
                    </a:innerShdw>
                  </a:effectLst>
                  <a:latin typeface="Arial Narrow" panose="020B0606020202030204" pitchFamily="34" charset="0"/>
                </a:rPr>
                <a:t>deep-and-wide</a:t>
              </a:r>
            </a:p>
          </xdr:txBody>
        </xdr:sp>
        <xdr:sp macro="" textlink="">
          <xdr:nvSpPr>
            <xdr:cNvPr id="896" name="DEEP-YET-NARROW">
              <a:extLst>
                <a:ext uri="{FF2B5EF4-FFF2-40B4-BE49-F238E27FC236}">
                  <a16:creationId xmlns:a16="http://schemas.microsoft.com/office/drawing/2014/main" id="{00000000-0008-0000-0200-000080030000}"/>
                </a:ext>
              </a:extLst>
            </xdr:cNvPr>
            <xdr:cNvSpPr txBox="1">
              <a:spLocks/>
            </xdr:cNvSpPr>
          </xdr:nvSpPr>
          <xdr:spPr>
            <a:xfrm>
              <a:off x="9048354" y="33329342"/>
              <a:ext cx="1126428" cy="1210698"/>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Prioritize deep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cohesion</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of familiar few, over inclusion of others</a:t>
              </a:r>
            </a:p>
          </xdr:txBody>
        </xdr:sp>
        <xdr:sp macro="" textlink="">
          <xdr:nvSpPr>
            <xdr:cNvPr id="897" name="DEEP-THEN-WIDE">
              <a:extLst>
                <a:ext uri="{FF2B5EF4-FFF2-40B4-BE49-F238E27FC236}">
                  <a16:creationId xmlns:a16="http://schemas.microsoft.com/office/drawing/2014/main" id="{00000000-0008-0000-0200-000081030000}"/>
                </a:ext>
              </a:extLst>
            </xdr:cNvPr>
            <xdr:cNvSpPr txBox="1">
              <a:spLocks/>
            </xdr:cNvSpPr>
          </xdr:nvSpPr>
          <xdr:spPr>
            <a:xfrm>
              <a:off x="7510468" y="33328926"/>
              <a:ext cx="1161092" cy="11607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Seek individual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freedoms</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then seek equality for others</a:t>
              </a:r>
            </a:p>
          </xdr:txBody>
        </xdr:sp>
        <xdr:sp macro="" textlink="">
          <xdr:nvSpPr>
            <xdr:cNvPr id="898" name="DEEP-AND-WIDE">
              <a:extLst>
                <a:ext uri="{FF2B5EF4-FFF2-40B4-BE49-F238E27FC236}">
                  <a16:creationId xmlns:a16="http://schemas.microsoft.com/office/drawing/2014/main" id="{00000000-0008-0000-0200-000082030000}"/>
                </a:ext>
              </a:extLst>
            </xdr:cNvPr>
            <xdr:cNvSpPr txBox="1">
              <a:spLocks/>
            </xdr:cNvSpPr>
          </xdr:nvSpPr>
          <xdr:spPr>
            <a:xfrm>
              <a:off x="4055266" y="33300988"/>
              <a:ext cx="3111816" cy="117015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10000"/>
                </a:lnSpc>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Experience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both</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social equality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personal freedom, inclusion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cohesion,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social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self needs</a:t>
              </a:r>
            </a:p>
          </xdr:txBody>
        </xdr:sp>
        <xdr:sp macro="" textlink="">
          <xdr:nvSpPr>
            <xdr:cNvPr id="899" name="WIDE-THEN-DEEP">
              <a:extLst>
                <a:ext uri="{FF2B5EF4-FFF2-40B4-BE49-F238E27FC236}">
                  <a16:creationId xmlns:a16="http://schemas.microsoft.com/office/drawing/2014/main" id="{00000000-0008-0000-0200-000083030000}"/>
                </a:ext>
              </a:extLst>
            </xdr:cNvPr>
            <xdr:cNvSpPr txBox="1">
              <a:spLocks/>
            </xdr:cNvSpPr>
          </xdr:nvSpPr>
          <xdr:spPr>
            <a:xfrm>
              <a:off x="2469710" y="33328316"/>
              <a:ext cx="1348100" cy="116080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Seek social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equality</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then seek individual freedoms</a:t>
              </a:r>
            </a:p>
          </xdr:txBody>
        </xdr:sp>
        <xdr:sp macro="" textlink="">
          <xdr:nvSpPr>
            <xdr:cNvPr id="900" name="WIDE-YET-SHALLOW">
              <a:extLst>
                <a:ext uri="{FF2B5EF4-FFF2-40B4-BE49-F238E27FC236}">
                  <a16:creationId xmlns:a16="http://schemas.microsoft.com/office/drawing/2014/main" id="{00000000-0008-0000-0200-000084030000}"/>
                </a:ext>
              </a:extLst>
            </xdr:cNvPr>
            <xdr:cNvSpPr txBox="1">
              <a:spLocks/>
            </xdr:cNvSpPr>
          </xdr:nvSpPr>
          <xdr:spPr>
            <a:xfrm>
              <a:off x="990700" y="33329342"/>
              <a:ext cx="1126428" cy="105489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Prioritize wide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inclusion</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of all, over close-knit cohesion</a:t>
              </a:r>
            </a:p>
          </xdr:txBody>
        </xdr:sp>
        <xdr:sp macro="" textlink="">
          <xdr:nvSpPr>
            <xdr:cNvPr id="901" name="Focus more on social equality">
              <a:extLst>
                <a:ext uri="{FF2B5EF4-FFF2-40B4-BE49-F238E27FC236}">
                  <a16:creationId xmlns:a16="http://schemas.microsoft.com/office/drawing/2014/main" id="{00000000-0008-0000-0200-000085030000}"/>
                </a:ext>
              </a:extLst>
            </xdr:cNvPr>
            <xdr:cNvSpPr txBox="1"/>
          </xdr:nvSpPr>
          <xdr:spPr>
            <a:xfrm>
              <a:off x="326834" y="33125657"/>
              <a:ext cx="5029200" cy="274320"/>
            </a:xfrm>
            <a:prstGeom prst="rect">
              <a:avLst/>
            </a:prstGeom>
            <a:noFill/>
          </xdr:spPr>
          <xdr:txBody>
            <a:bodyPr wrap="square" lIns="0" tIns="0" rIns="0" bIns="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Focus more on broad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social equality </a:t>
              </a: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than on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individual freedoms</a:t>
              </a:r>
            </a:p>
          </xdr:txBody>
        </xdr:sp>
        <xdr:sp macro="" textlink="">
          <xdr:nvSpPr>
            <xdr:cNvPr id="902" name="Focus more on personall freedoms">
              <a:extLst>
                <a:ext uri="{FF2B5EF4-FFF2-40B4-BE49-F238E27FC236}">
                  <a16:creationId xmlns:a16="http://schemas.microsoft.com/office/drawing/2014/main" id="{00000000-0008-0000-0200-000086030000}"/>
                </a:ext>
              </a:extLst>
            </xdr:cNvPr>
            <xdr:cNvSpPr txBox="1"/>
          </xdr:nvSpPr>
          <xdr:spPr>
            <a:xfrm>
              <a:off x="5819906" y="33125657"/>
              <a:ext cx="5029200" cy="274320"/>
            </a:xfrm>
            <a:prstGeom prst="rect">
              <a:avLst/>
            </a:prstGeom>
            <a:noFill/>
          </xdr:spPr>
          <xdr:txBody>
            <a:bodyPr wrap="square" lIns="0" tIns="0" rIns="0" bIns="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Focus more on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individual freedoms</a:t>
              </a: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than on broad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social equality </a:t>
              </a:r>
            </a:p>
          </xdr:txBody>
        </xdr:sp>
        <xdr:sp macro="" textlink="">
          <xdr:nvSpPr>
            <xdr:cNvPr id="903" name="Arrow: Left-Right 902">
              <a:extLst>
                <a:ext uri="{FF2B5EF4-FFF2-40B4-BE49-F238E27FC236}">
                  <a16:creationId xmlns:a16="http://schemas.microsoft.com/office/drawing/2014/main" id="{00000000-0008-0000-0200-000087030000}"/>
                </a:ext>
              </a:extLst>
            </xdr:cNvPr>
            <xdr:cNvSpPr/>
          </xdr:nvSpPr>
          <xdr:spPr>
            <a:xfrm>
              <a:off x="4014303" y="31388990"/>
              <a:ext cx="3154035" cy="365760"/>
            </a:xfrm>
            <a:prstGeom prst="leftRightArrow">
              <a:avLst>
                <a:gd name="adj1" fmla="val 100000"/>
                <a:gd name="adj2" fmla="val 50000"/>
              </a:avLst>
            </a:prstGeom>
            <a:solidFill>
              <a:srgbClr val="C204E2"/>
            </a:solidFill>
            <a:ln>
              <a:noFill/>
            </a:ln>
            <a:effectLst>
              <a:innerShdw blurRad="114300">
                <a:prstClr val="black"/>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psychosocial equilibrium</a:t>
              </a:r>
            </a:p>
          </xdr:txBody>
        </xdr:sp>
      </xdr:grpSp>
      <xdr:grpSp>
        <xdr:nvGrpSpPr>
          <xdr:cNvPr id="904" name="Group 903">
            <a:extLst>
              <a:ext uri="{FF2B5EF4-FFF2-40B4-BE49-F238E27FC236}">
                <a16:creationId xmlns:a16="http://schemas.microsoft.com/office/drawing/2014/main" id="{00000000-0008-0000-0200-000088030000}"/>
              </a:ext>
            </a:extLst>
          </xdr:cNvPr>
          <xdr:cNvGrpSpPr>
            <a:grpSpLocks noChangeAspect="1"/>
          </xdr:cNvGrpSpPr>
        </xdr:nvGrpSpPr>
        <xdr:grpSpPr>
          <a:xfrm>
            <a:off x="416446" y="104605786"/>
            <a:ext cx="5299126" cy="2555031"/>
            <a:chOff x="24987165" y="32459649"/>
            <a:chExt cx="9598655" cy="5251251"/>
          </a:xfrm>
        </xdr:grpSpPr>
        <xdr:grpSp>
          <xdr:nvGrpSpPr>
            <xdr:cNvPr id="905" name="Group 904">
              <a:extLst>
                <a:ext uri="{FF2B5EF4-FFF2-40B4-BE49-F238E27FC236}">
                  <a16:creationId xmlns:a16="http://schemas.microsoft.com/office/drawing/2014/main" id="{00000000-0008-0000-0200-000089030000}"/>
                </a:ext>
              </a:extLst>
            </xdr:cNvPr>
            <xdr:cNvGrpSpPr/>
          </xdr:nvGrpSpPr>
          <xdr:grpSpPr>
            <a:xfrm>
              <a:off x="28876355" y="32542745"/>
              <a:ext cx="1671262" cy="5168155"/>
              <a:chOff x="7580642" y="2421253"/>
              <a:chExt cx="1671262" cy="5168155"/>
            </a:xfrm>
          </xdr:grpSpPr>
          <xdr:sp macro="" textlink="">
            <xdr:nvSpPr>
              <xdr:cNvPr id="926" name="Oval 925">
                <a:extLst>
                  <a:ext uri="{FF2B5EF4-FFF2-40B4-BE49-F238E27FC236}">
                    <a16:creationId xmlns:a16="http://schemas.microsoft.com/office/drawing/2014/main" id="{00000000-0008-0000-0200-00009E030000}"/>
                  </a:ext>
                </a:extLst>
              </xdr:cNvPr>
              <xdr:cNvSpPr/>
            </xdr:nvSpPr>
            <xdr:spPr>
              <a:xfrm>
                <a:off x="7686750" y="2421253"/>
                <a:ext cx="1463040" cy="5168155"/>
              </a:xfrm>
              <a:prstGeom prst="ellipse">
                <a:avLst/>
              </a:prstGeom>
              <a:solidFill>
                <a:srgbClr val="D7B9FF">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27" name="I know everyone.">
                <a:extLst>
                  <a:ext uri="{FF2B5EF4-FFF2-40B4-BE49-F238E27FC236}">
                    <a16:creationId xmlns:a16="http://schemas.microsoft.com/office/drawing/2014/main" id="{00000000-0008-0000-0200-00009F030000}"/>
                  </a:ext>
                </a:extLst>
              </xdr:cNvPr>
              <xdr:cNvSpPr txBox="1">
                <a:spLocks/>
              </xdr:cNvSpPr>
            </xdr:nvSpPr>
            <xdr:spPr>
              <a:xfrm>
                <a:off x="7785776" y="2682085"/>
                <a:ext cx="12382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know others here. Others here know me enough to keep me accountable.</a:t>
                </a:r>
              </a:p>
            </xdr:txBody>
          </xdr:sp>
          <xdr:sp macro="" textlink="">
            <xdr:nvSpPr>
              <xdr:cNvPr id="928" name="I know everyone.">
                <a:extLst>
                  <a:ext uri="{FF2B5EF4-FFF2-40B4-BE49-F238E27FC236}">
                    <a16:creationId xmlns:a16="http://schemas.microsoft.com/office/drawing/2014/main" id="{00000000-0008-0000-0200-0000A0030000}"/>
                  </a:ext>
                </a:extLst>
              </xdr:cNvPr>
              <xdr:cNvSpPr txBox="1">
                <a:spLocks/>
              </xdr:cNvSpPr>
            </xdr:nvSpPr>
            <xdr:spPr>
              <a:xfrm>
                <a:off x="7848029" y="5759621"/>
                <a:ext cx="1161714" cy="129574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tend to fully resolve. </a:t>
                </a:r>
                <a:r>
                  <a:rPr lang="en-US" sz="800" b="1" spc="-70">
                    <a:solidFill>
                      <a:srgbClr val="007332"/>
                    </a:solidFill>
                    <a:latin typeface="Tahoma" panose="020B0604030504040204" pitchFamily="34" charset="0"/>
                    <a:ea typeface="Tahoma" panose="020B0604030504040204" pitchFamily="34" charset="0"/>
                    <a:cs typeface="Tahoma" panose="020B0604030504040204" pitchFamily="34" charset="0"/>
                  </a:rPr>
                  <a:t>I’m meaningfully </a:t>
                </a: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content.</a:t>
                </a:r>
              </a:p>
            </xdr:txBody>
          </xdr:sp>
          <xdr:sp macro="" textlink="">
            <xdr:nvSpPr>
              <xdr:cNvPr id="929" name="I know everyone.">
                <a:extLst>
                  <a:ext uri="{FF2B5EF4-FFF2-40B4-BE49-F238E27FC236}">
                    <a16:creationId xmlns:a16="http://schemas.microsoft.com/office/drawing/2014/main" id="{00000000-0008-0000-0200-0000A1030000}"/>
                  </a:ext>
                </a:extLst>
              </xdr:cNvPr>
              <xdr:cNvSpPr txBox="1">
                <a:spLocks/>
              </xdr:cNvSpPr>
            </xdr:nvSpPr>
            <xdr:spPr>
              <a:xfrm>
                <a:off x="7580642" y="4183902"/>
                <a:ext cx="1671262" cy="152203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can regularly access the resources I need on my own and thru others. I am amply supplied.</a:t>
                </a:r>
              </a:p>
            </xdr:txBody>
          </xdr:sp>
        </xdr:grpSp>
        <xdr:grpSp>
          <xdr:nvGrpSpPr>
            <xdr:cNvPr id="906" name="Group 905">
              <a:extLst>
                <a:ext uri="{FF2B5EF4-FFF2-40B4-BE49-F238E27FC236}">
                  <a16:creationId xmlns:a16="http://schemas.microsoft.com/office/drawing/2014/main" id="{00000000-0008-0000-0200-00008A030000}"/>
                </a:ext>
              </a:extLst>
            </xdr:cNvPr>
            <xdr:cNvGrpSpPr/>
          </xdr:nvGrpSpPr>
          <xdr:grpSpPr>
            <a:xfrm>
              <a:off x="26978701" y="32524013"/>
              <a:ext cx="1588147" cy="5168155"/>
              <a:chOff x="7634811" y="2402521"/>
              <a:chExt cx="1588147" cy="5168155"/>
            </a:xfrm>
          </xdr:grpSpPr>
          <xdr:sp macro="" textlink="">
            <xdr:nvSpPr>
              <xdr:cNvPr id="922" name="Oval 921">
                <a:extLst>
                  <a:ext uri="{FF2B5EF4-FFF2-40B4-BE49-F238E27FC236}">
                    <a16:creationId xmlns:a16="http://schemas.microsoft.com/office/drawing/2014/main" id="{00000000-0008-0000-0200-00009A030000}"/>
                  </a:ext>
                </a:extLst>
              </xdr:cNvPr>
              <xdr:cNvSpPr/>
            </xdr:nvSpPr>
            <xdr:spPr>
              <a:xfrm>
                <a:off x="7686750" y="2402521"/>
                <a:ext cx="1463040" cy="5168155"/>
              </a:xfrm>
              <a:prstGeom prst="ellipse">
                <a:avLst/>
              </a:prstGeom>
              <a:solidFill>
                <a:schemeClr val="accent1">
                  <a:lumMod val="40000"/>
                  <a:lumOff val="60000"/>
                  <a:alpha val="47000"/>
                </a:scheme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23" name="I know everyone.">
                <a:extLst>
                  <a:ext uri="{FF2B5EF4-FFF2-40B4-BE49-F238E27FC236}">
                    <a16:creationId xmlns:a16="http://schemas.microsoft.com/office/drawing/2014/main" id="{00000000-0008-0000-0200-00009B030000}"/>
                  </a:ext>
                </a:extLst>
              </xdr:cNvPr>
              <xdr:cNvSpPr txBox="1">
                <a:spLocks/>
              </xdr:cNvSpPr>
            </xdr:nvSpPr>
            <xdr:spPr>
              <a:xfrm>
                <a:off x="7771893" y="2647810"/>
                <a:ext cx="1340642" cy="166687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kinda know others here. They kinda know me by the categories I fit.</a:t>
                </a:r>
              </a:p>
            </xdr:txBody>
          </xdr:sp>
          <xdr:sp macro="" textlink="">
            <xdr:nvSpPr>
              <xdr:cNvPr id="924" name="I know everyone.">
                <a:extLst>
                  <a:ext uri="{FF2B5EF4-FFF2-40B4-BE49-F238E27FC236}">
                    <a16:creationId xmlns:a16="http://schemas.microsoft.com/office/drawing/2014/main" id="{00000000-0008-0000-0200-00009C030000}"/>
                  </a:ext>
                </a:extLst>
              </xdr:cNvPr>
              <xdr:cNvSpPr txBox="1">
                <a:spLocks/>
              </xdr:cNvSpPr>
            </xdr:nvSpPr>
            <xdr:spPr>
              <a:xfrm>
                <a:off x="7634811" y="5759633"/>
                <a:ext cx="1588147" cy="1013841"/>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only partially resolve. I continually feel discontent.</a:t>
                </a:r>
              </a:p>
            </xdr:txBody>
          </xdr:sp>
          <xdr:sp macro="" textlink="">
            <xdr:nvSpPr>
              <xdr:cNvPr id="925" name="I know everyone.">
                <a:extLst>
                  <a:ext uri="{FF2B5EF4-FFF2-40B4-BE49-F238E27FC236}">
                    <a16:creationId xmlns:a16="http://schemas.microsoft.com/office/drawing/2014/main" id="{00000000-0008-0000-0200-00009D030000}"/>
                  </a:ext>
                </a:extLst>
              </xdr:cNvPr>
              <xdr:cNvSpPr txBox="1">
                <a:spLocks/>
              </xdr:cNvSpPr>
            </xdr:nvSpPr>
            <xdr:spPr>
              <a:xfrm>
                <a:off x="7745235" y="4224791"/>
                <a:ext cx="1367302" cy="1522026"/>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most resources thru others. I can only get a few on my own. </a:t>
                </a:r>
              </a:p>
            </xdr:txBody>
          </xdr:sp>
        </xdr:grpSp>
        <xdr:grpSp>
          <xdr:nvGrpSpPr>
            <xdr:cNvPr id="907" name="Group 906">
              <a:extLst>
                <a:ext uri="{FF2B5EF4-FFF2-40B4-BE49-F238E27FC236}">
                  <a16:creationId xmlns:a16="http://schemas.microsoft.com/office/drawing/2014/main" id="{00000000-0008-0000-0200-00008B030000}"/>
                </a:ext>
              </a:extLst>
            </xdr:cNvPr>
            <xdr:cNvGrpSpPr/>
          </xdr:nvGrpSpPr>
          <xdr:grpSpPr>
            <a:xfrm>
              <a:off x="24987165" y="32459649"/>
              <a:ext cx="1771541" cy="5168154"/>
              <a:chOff x="7543115" y="2338157"/>
              <a:chExt cx="1771541" cy="5168154"/>
            </a:xfrm>
          </xdr:grpSpPr>
          <xdr:sp macro="" textlink="">
            <xdr:nvSpPr>
              <xdr:cNvPr id="918" name="Oval 917">
                <a:extLst>
                  <a:ext uri="{FF2B5EF4-FFF2-40B4-BE49-F238E27FC236}">
                    <a16:creationId xmlns:a16="http://schemas.microsoft.com/office/drawing/2014/main" id="{00000000-0008-0000-0200-000096030000}"/>
                  </a:ext>
                </a:extLst>
              </xdr:cNvPr>
              <xdr:cNvSpPr/>
            </xdr:nvSpPr>
            <xdr:spPr>
              <a:xfrm>
                <a:off x="7686751" y="2338157"/>
                <a:ext cx="1463040" cy="5168154"/>
              </a:xfrm>
              <a:prstGeom prst="ellipse">
                <a:avLst/>
              </a:prstGeom>
              <a:solidFill>
                <a:srgbClr val="00B0F0">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9" name="I know everyone.">
                <a:extLst>
                  <a:ext uri="{FF2B5EF4-FFF2-40B4-BE49-F238E27FC236}">
                    <a16:creationId xmlns:a16="http://schemas.microsoft.com/office/drawing/2014/main" id="{00000000-0008-0000-0200-000097030000}"/>
                  </a:ext>
                </a:extLst>
              </xdr:cNvPr>
              <xdr:cNvSpPr txBox="1">
                <a:spLocks/>
              </xdr:cNvSpPr>
            </xdr:nvSpPr>
            <xdr:spPr>
              <a:xfrm>
                <a:off x="7664451" y="2647237"/>
                <a:ext cx="1553587" cy="166687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No one here really knows me. I don’t really know any of them beyond social categories.</a:t>
                </a:r>
              </a:p>
            </xdr:txBody>
          </xdr:sp>
          <xdr:sp macro="" textlink="">
            <xdr:nvSpPr>
              <xdr:cNvPr id="920" name="I know everyone.">
                <a:extLst>
                  <a:ext uri="{FF2B5EF4-FFF2-40B4-BE49-F238E27FC236}">
                    <a16:creationId xmlns:a16="http://schemas.microsoft.com/office/drawing/2014/main" id="{00000000-0008-0000-0200-000098030000}"/>
                  </a:ext>
                </a:extLst>
              </xdr:cNvPr>
              <xdr:cNvSpPr txBox="1">
                <a:spLocks/>
              </xdr:cNvSpPr>
            </xdr:nvSpPr>
            <xdr:spPr>
              <a:xfrm>
                <a:off x="7592272" y="5759627"/>
                <a:ext cx="1673226" cy="129574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rarely resolve fully. I’m in continual pain, and vulnerable to trauma.</a:t>
                </a:r>
              </a:p>
            </xdr:txBody>
          </xdr:sp>
          <xdr:sp macro="" textlink="">
            <xdr:nvSpPr>
              <xdr:cNvPr id="921" name="I know everyone.">
                <a:extLst>
                  <a:ext uri="{FF2B5EF4-FFF2-40B4-BE49-F238E27FC236}">
                    <a16:creationId xmlns:a16="http://schemas.microsoft.com/office/drawing/2014/main" id="{00000000-0008-0000-0200-000099030000}"/>
                  </a:ext>
                </a:extLst>
              </xdr:cNvPr>
              <xdr:cNvSpPr txBox="1">
                <a:spLocks/>
              </xdr:cNvSpPr>
            </xdr:nvSpPr>
            <xdr:spPr>
              <a:xfrm>
                <a:off x="7543115" y="4224792"/>
                <a:ext cx="1771541" cy="152203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almost all resources thru others. I can’t count on being able </a:t>
                </a:r>
                <a:r>
                  <a:rPr lang="en-US" sz="800" b="1" spc="-80">
                    <a:solidFill>
                      <a:srgbClr val="007332"/>
                    </a:solidFill>
                    <a:latin typeface="Tahoma" panose="020B0604030504040204" pitchFamily="34" charset="0"/>
                    <a:ea typeface="Tahoma" panose="020B0604030504040204" pitchFamily="34" charset="0"/>
                    <a:cs typeface="Tahoma" panose="020B0604030504040204" pitchFamily="34" charset="0"/>
                  </a:rPr>
                  <a:t>to get </a:t>
                </a:r>
                <a:r>
                  <a:rPr lang="en-US" sz="800" b="1" kern="1200" spc="-30">
                    <a:solidFill>
                      <a:srgbClr val="007332"/>
                    </a:solidFill>
                    <a:latin typeface="Tahoma" panose="020B0604030504040204" pitchFamily="34" charset="0"/>
                    <a:ea typeface="Tahoma" panose="020B0604030504040204" pitchFamily="34" charset="0"/>
                    <a:cs typeface="Tahoma" panose="020B0604030504040204" pitchFamily="34" charset="0"/>
                  </a:rPr>
                  <a:t>what I need on my own. </a:t>
                </a:r>
              </a:p>
            </xdr:txBody>
          </xdr:sp>
        </xdr:grpSp>
        <xdr:grpSp>
          <xdr:nvGrpSpPr>
            <xdr:cNvPr id="908" name="Group 907">
              <a:extLst>
                <a:ext uri="{FF2B5EF4-FFF2-40B4-BE49-F238E27FC236}">
                  <a16:creationId xmlns:a16="http://schemas.microsoft.com/office/drawing/2014/main" id="{00000000-0008-0000-0200-00008C030000}"/>
                </a:ext>
              </a:extLst>
            </xdr:cNvPr>
            <xdr:cNvGrpSpPr/>
          </xdr:nvGrpSpPr>
          <xdr:grpSpPr>
            <a:xfrm>
              <a:off x="30875364" y="32492689"/>
              <a:ext cx="1639029" cy="5168156"/>
              <a:chOff x="7644436" y="2371197"/>
              <a:chExt cx="1639029" cy="5168156"/>
            </a:xfrm>
          </xdr:grpSpPr>
          <xdr:sp macro="" textlink="">
            <xdr:nvSpPr>
              <xdr:cNvPr id="914" name="Oval 913">
                <a:extLst>
                  <a:ext uri="{FF2B5EF4-FFF2-40B4-BE49-F238E27FC236}">
                    <a16:creationId xmlns:a16="http://schemas.microsoft.com/office/drawing/2014/main" id="{00000000-0008-0000-0200-000092030000}"/>
                  </a:ext>
                </a:extLst>
              </xdr:cNvPr>
              <xdr:cNvSpPr/>
            </xdr:nvSpPr>
            <xdr:spPr>
              <a:xfrm>
                <a:off x="7686750" y="2371197"/>
                <a:ext cx="1463040" cy="5168156"/>
              </a:xfrm>
              <a:prstGeom prst="ellipse">
                <a:avLst/>
              </a:prstGeom>
              <a:solidFill>
                <a:srgbClr val="FF9999">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5" name="I know everyone.">
                <a:extLst>
                  <a:ext uri="{FF2B5EF4-FFF2-40B4-BE49-F238E27FC236}">
                    <a16:creationId xmlns:a16="http://schemas.microsoft.com/office/drawing/2014/main" id="{00000000-0008-0000-0200-000093030000}"/>
                  </a:ext>
                </a:extLst>
              </xdr:cNvPr>
              <xdr:cNvSpPr txBox="1">
                <a:spLocks/>
              </xdr:cNvSpPr>
            </xdr:nvSpPr>
            <xdr:spPr>
              <a:xfrm>
                <a:off x="7832092" y="2676733"/>
                <a:ext cx="11935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mostly know everyone here. They think they know me.</a:t>
                </a:r>
              </a:p>
            </xdr:txBody>
          </xdr:sp>
          <xdr:sp macro="" textlink="">
            <xdr:nvSpPr>
              <xdr:cNvPr id="916" name="I know everyone.">
                <a:extLst>
                  <a:ext uri="{FF2B5EF4-FFF2-40B4-BE49-F238E27FC236}">
                    <a16:creationId xmlns:a16="http://schemas.microsoft.com/office/drawing/2014/main" id="{00000000-0008-0000-0200-000094030000}"/>
                  </a:ext>
                </a:extLst>
              </xdr:cNvPr>
              <xdr:cNvSpPr txBox="1">
                <a:spLocks/>
              </xdr:cNvSpPr>
            </xdr:nvSpPr>
            <xdr:spPr>
              <a:xfrm>
                <a:off x="7707979" y="5759630"/>
                <a:ext cx="1441811" cy="12957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only partially resolve. I frequently feel dissatisfied.</a:t>
                </a:r>
              </a:p>
            </xdr:txBody>
          </xdr:sp>
          <xdr:sp macro="" textlink="">
            <xdr:nvSpPr>
              <xdr:cNvPr id="917" name="I know everyone.">
                <a:extLst>
                  <a:ext uri="{FF2B5EF4-FFF2-40B4-BE49-F238E27FC236}">
                    <a16:creationId xmlns:a16="http://schemas.microsoft.com/office/drawing/2014/main" id="{00000000-0008-0000-0200-000095030000}"/>
                  </a:ext>
                </a:extLst>
              </xdr:cNvPr>
              <xdr:cNvSpPr txBox="1">
                <a:spLocks/>
              </xdr:cNvSpPr>
            </xdr:nvSpPr>
            <xdr:spPr>
              <a:xfrm>
                <a:off x="7644436" y="4114502"/>
                <a:ext cx="1639029" cy="1860256"/>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access resources mostly on my own or locally. I don’t like relying on those I can’t personally know.</a:t>
                </a:r>
              </a:p>
            </xdr:txBody>
          </xdr:sp>
        </xdr:grpSp>
        <xdr:grpSp>
          <xdr:nvGrpSpPr>
            <xdr:cNvPr id="909" name="Group 908">
              <a:extLst>
                <a:ext uri="{FF2B5EF4-FFF2-40B4-BE49-F238E27FC236}">
                  <a16:creationId xmlns:a16="http://schemas.microsoft.com/office/drawing/2014/main" id="{00000000-0008-0000-0200-00008D030000}"/>
                </a:ext>
              </a:extLst>
            </xdr:cNvPr>
            <xdr:cNvGrpSpPr/>
          </xdr:nvGrpSpPr>
          <xdr:grpSpPr>
            <a:xfrm>
              <a:off x="32624815" y="32459654"/>
              <a:ext cx="1961005" cy="5168155"/>
              <a:chOff x="7448382" y="2338162"/>
              <a:chExt cx="1961005" cy="5168155"/>
            </a:xfrm>
          </xdr:grpSpPr>
          <xdr:sp macro="" textlink="">
            <xdr:nvSpPr>
              <xdr:cNvPr id="910" name="Oval 909">
                <a:extLst>
                  <a:ext uri="{FF2B5EF4-FFF2-40B4-BE49-F238E27FC236}">
                    <a16:creationId xmlns:a16="http://schemas.microsoft.com/office/drawing/2014/main" id="{00000000-0008-0000-0200-00008E030000}"/>
                  </a:ext>
                </a:extLst>
              </xdr:cNvPr>
              <xdr:cNvSpPr/>
            </xdr:nvSpPr>
            <xdr:spPr>
              <a:xfrm>
                <a:off x="7686751" y="2338162"/>
                <a:ext cx="1463040" cy="5168155"/>
              </a:xfrm>
              <a:prstGeom prst="ellipse">
                <a:avLst/>
              </a:prstGeom>
              <a:solidFill>
                <a:srgbClr val="FF3C3C">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1" name="I know everyone.">
                <a:extLst>
                  <a:ext uri="{FF2B5EF4-FFF2-40B4-BE49-F238E27FC236}">
                    <a16:creationId xmlns:a16="http://schemas.microsoft.com/office/drawing/2014/main" id="{00000000-0008-0000-0200-00008F030000}"/>
                  </a:ext>
                </a:extLst>
              </xdr:cNvPr>
              <xdr:cNvSpPr txBox="1">
                <a:spLocks/>
              </xdr:cNvSpPr>
            </xdr:nvSpPr>
            <xdr:spPr>
              <a:xfrm>
                <a:off x="7821476" y="2648638"/>
                <a:ext cx="11935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think I know everyone here. Few here really know me.</a:t>
                </a:r>
              </a:p>
            </xdr:txBody>
          </xdr:sp>
          <xdr:sp macro="" textlink="">
            <xdr:nvSpPr>
              <xdr:cNvPr id="912" name="I know everyone.">
                <a:extLst>
                  <a:ext uri="{FF2B5EF4-FFF2-40B4-BE49-F238E27FC236}">
                    <a16:creationId xmlns:a16="http://schemas.microsoft.com/office/drawing/2014/main" id="{00000000-0008-0000-0200-000090030000}"/>
                  </a:ext>
                </a:extLst>
              </xdr:cNvPr>
              <xdr:cNvSpPr txBox="1">
                <a:spLocks/>
              </xdr:cNvSpPr>
            </xdr:nvSpPr>
            <xdr:spPr>
              <a:xfrm>
                <a:off x="7448382" y="5759626"/>
                <a:ext cx="1961005" cy="101384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rarely resolve fully. I’m easily irritated by those I don’t know.</a:t>
                </a:r>
              </a:p>
            </xdr:txBody>
          </xdr:sp>
          <xdr:sp macro="" textlink="">
            <xdr:nvSpPr>
              <xdr:cNvPr id="913" name="I know everyone.">
                <a:extLst>
                  <a:ext uri="{FF2B5EF4-FFF2-40B4-BE49-F238E27FC236}">
                    <a16:creationId xmlns:a16="http://schemas.microsoft.com/office/drawing/2014/main" id="{00000000-0008-0000-0200-000091030000}"/>
                  </a:ext>
                </a:extLst>
              </xdr:cNvPr>
              <xdr:cNvSpPr txBox="1">
                <a:spLocks/>
              </xdr:cNvSpPr>
            </xdr:nvSpPr>
            <xdr:spPr>
              <a:xfrm>
                <a:off x="7831022" y="4126685"/>
                <a:ext cx="1200238" cy="152202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resources mostly on my own. I can’t count on others.</a:t>
                </a:r>
              </a:p>
            </xdr:txBody>
          </xdr:sp>
        </xdr:grpSp>
      </xdr:grpSp>
    </xdr:grpSp>
    <xdr:clientData/>
  </xdr:twoCellAnchor>
  <xdr:twoCellAnchor>
    <xdr:from>
      <xdr:col>0</xdr:col>
      <xdr:colOff>114300</xdr:colOff>
      <xdr:row>680</xdr:row>
      <xdr:rowOff>13639</xdr:rowOff>
    </xdr:from>
    <xdr:to>
      <xdr:col>13</xdr:col>
      <xdr:colOff>15240</xdr:colOff>
      <xdr:row>691</xdr:row>
      <xdr:rowOff>77339</xdr:rowOff>
    </xdr:to>
    <xdr:grpSp>
      <xdr:nvGrpSpPr>
        <xdr:cNvPr id="49" name="Group 48">
          <a:extLst>
            <a:ext uri="{FF2B5EF4-FFF2-40B4-BE49-F238E27FC236}">
              <a16:creationId xmlns:a16="http://schemas.microsoft.com/office/drawing/2014/main" id="{00000000-0008-0000-0200-000031000000}"/>
            </a:ext>
          </a:extLst>
        </xdr:cNvPr>
        <xdr:cNvGrpSpPr/>
      </xdr:nvGrpSpPr>
      <xdr:grpSpPr>
        <a:xfrm>
          <a:off x="114300" y="133394119"/>
          <a:ext cx="6050280" cy="1991560"/>
          <a:chOff x="114300" y="124745419"/>
          <a:chExt cx="5966460" cy="1991560"/>
        </a:xfrm>
      </xdr:grpSpPr>
      <xdr:grpSp>
        <xdr:nvGrpSpPr>
          <xdr:cNvPr id="2226" name="Group 2225">
            <a:extLst>
              <a:ext uri="{FF2B5EF4-FFF2-40B4-BE49-F238E27FC236}">
                <a16:creationId xmlns:a16="http://schemas.microsoft.com/office/drawing/2014/main" id="{00000000-0008-0000-0200-0000B2080000}"/>
              </a:ext>
            </a:extLst>
          </xdr:cNvPr>
          <xdr:cNvGrpSpPr>
            <a:grpSpLocks noChangeAspect="1"/>
          </xdr:cNvGrpSpPr>
        </xdr:nvGrpSpPr>
        <xdr:grpSpPr>
          <a:xfrm>
            <a:off x="3291085" y="124753058"/>
            <a:ext cx="850221" cy="1982459"/>
            <a:chOff x="14944724" y="104774999"/>
            <a:chExt cx="1371601" cy="3409948"/>
          </a:xfrm>
        </xdr:grpSpPr>
        <xdr:grpSp>
          <xdr:nvGrpSpPr>
            <xdr:cNvPr id="2407" name="Group 2406">
              <a:extLst>
                <a:ext uri="{FF2B5EF4-FFF2-40B4-BE49-F238E27FC236}">
                  <a16:creationId xmlns:a16="http://schemas.microsoft.com/office/drawing/2014/main" id="{00000000-0008-0000-0200-000067090000}"/>
                </a:ext>
              </a:extLst>
            </xdr:cNvPr>
            <xdr:cNvGrpSpPr/>
          </xdr:nvGrpSpPr>
          <xdr:grpSpPr>
            <a:xfrm>
              <a:off x="14944724" y="105441747"/>
              <a:ext cx="1053296" cy="2743200"/>
              <a:chOff x="14944724" y="105441747"/>
              <a:chExt cx="1053296" cy="2743200"/>
            </a:xfrm>
          </xdr:grpSpPr>
          <xdr:grpSp>
            <xdr:nvGrpSpPr>
              <xdr:cNvPr id="2409" name="Group 2408">
                <a:extLst>
                  <a:ext uri="{FF2B5EF4-FFF2-40B4-BE49-F238E27FC236}">
                    <a16:creationId xmlns:a16="http://schemas.microsoft.com/office/drawing/2014/main" id="{00000000-0008-0000-0200-00006909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414" name="Rectangle: Rounded Corners 2413">
                  <a:extLst>
                    <a:ext uri="{FF2B5EF4-FFF2-40B4-BE49-F238E27FC236}">
                      <a16:creationId xmlns:a16="http://schemas.microsoft.com/office/drawing/2014/main" id="{00000000-0008-0000-0200-00006E09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5" name="Rectangle: Rounded Corners 2414">
                  <a:extLst>
                    <a:ext uri="{FF2B5EF4-FFF2-40B4-BE49-F238E27FC236}">
                      <a16:creationId xmlns:a16="http://schemas.microsoft.com/office/drawing/2014/main" id="{00000000-0008-0000-0200-00006F09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6" name="Rectangle: Rounded Corners 2415">
                  <a:extLst>
                    <a:ext uri="{FF2B5EF4-FFF2-40B4-BE49-F238E27FC236}">
                      <a16:creationId xmlns:a16="http://schemas.microsoft.com/office/drawing/2014/main" id="{00000000-0008-0000-0200-00007009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7" name="Rectangle: Rounded Corners 2416">
                  <a:extLst>
                    <a:ext uri="{FF2B5EF4-FFF2-40B4-BE49-F238E27FC236}">
                      <a16:creationId xmlns:a16="http://schemas.microsoft.com/office/drawing/2014/main" id="{00000000-0008-0000-0200-00007109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8" name="Rectangle: Rounded Corners 2417">
                  <a:extLst>
                    <a:ext uri="{FF2B5EF4-FFF2-40B4-BE49-F238E27FC236}">
                      <a16:creationId xmlns:a16="http://schemas.microsoft.com/office/drawing/2014/main" id="{00000000-0008-0000-0200-00007209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9" name="Rectangle: Rounded Corners 2418">
                  <a:extLst>
                    <a:ext uri="{FF2B5EF4-FFF2-40B4-BE49-F238E27FC236}">
                      <a16:creationId xmlns:a16="http://schemas.microsoft.com/office/drawing/2014/main" id="{00000000-0008-0000-0200-00007309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20" name="Rectangle: Rounded Corners 2419">
                  <a:extLst>
                    <a:ext uri="{FF2B5EF4-FFF2-40B4-BE49-F238E27FC236}">
                      <a16:creationId xmlns:a16="http://schemas.microsoft.com/office/drawing/2014/main" id="{00000000-0008-0000-0200-00007409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410" name="Group 2409">
                <a:extLst>
                  <a:ext uri="{FF2B5EF4-FFF2-40B4-BE49-F238E27FC236}">
                    <a16:creationId xmlns:a16="http://schemas.microsoft.com/office/drawing/2014/main" id="{00000000-0008-0000-0200-00006A090000}"/>
                  </a:ext>
                </a:extLst>
              </xdr:cNvPr>
              <xdr:cNvGrpSpPr/>
            </xdr:nvGrpSpPr>
            <xdr:grpSpPr>
              <a:xfrm>
                <a:off x="15001875" y="106064797"/>
                <a:ext cx="953589" cy="1109382"/>
                <a:chOff x="-11112" y="0"/>
                <a:chExt cx="1112519" cy="1371600"/>
              </a:xfrm>
            </xdr:grpSpPr>
            <xdr:sp macro="" textlink="">
              <xdr:nvSpPr>
                <xdr:cNvPr id="2411" name="Rectangle 2410">
                  <a:extLst>
                    <a:ext uri="{FF2B5EF4-FFF2-40B4-BE49-F238E27FC236}">
                      <a16:creationId xmlns:a16="http://schemas.microsoft.com/office/drawing/2014/main" id="{00000000-0008-0000-0200-00006B09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412" name="Rectangle 2411">
                  <a:extLst>
                    <a:ext uri="{FF2B5EF4-FFF2-40B4-BE49-F238E27FC236}">
                      <a16:creationId xmlns:a16="http://schemas.microsoft.com/office/drawing/2014/main" id="{00000000-0008-0000-0200-00006C09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413" name="Straight Connector 2412">
                  <a:extLst>
                    <a:ext uri="{FF2B5EF4-FFF2-40B4-BE49-F238E27FC236}">
                      <a16:creationId xmlns:a16="http://schemas.microsoft.com/office/drawing/2014/main" id="{00000000-0008-0000-0200-00006D09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408" name="Thought Bubble: Cloud 2407">
              <a:extLst>
                <a:ext uri="{FF2B5EF4-FFF2-40B4-BE49-F238E27FC236}">
                  <a16:creationId xmlns:a16="http://schemas.microsoft.com/office/drawing/2014/main" id="{00000000-0008-0000-0200-00006809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50" name="Group 2249">
            <a:extLst>
              <a:ext uri="{FF2B5EF4-FFF2-40B4-BE49-F238E27FC236}">
                <a16:creationId xmlns:a16="http://schemas.microsoft.com/office/drawing/2014/main" id="{00000000-0008-0000-0200-0000CA080000}"/>
              </a:ext>
            </a:extLst>
          </xdr:cNvPr>
          <xdr:cNvGrpSpPr>
            <a:grpSpLocks noChangeAspect="1"/>
          </xdr:cNvGrpSpPr>
        </xdr:nvGrpSpPr>
        <xdr:grpSpPr>
          <a:xfrm>
            <a:off x="5354531" y="124752993"/>
            <a:ext cx="726229" cy="1982459"/>
            <a:chOff x="14933712" y="104774999"/>
            <a:chExt cx="1171575" cy="3409948"/>
          </a:xfrm>
        </xdr:grpSpPr>
        <xdr:grpSp>
          <xdr:nvGrpSpPr>
            <xdr:cNvPr id="2393" name="Group 2392">
              <a:extLst>
                <a:ext uri="{FF2B5EF4-FFF2-40B4-BE49-F238E27FC236}">
                  <a16:creationId xmlns:a16="http://schemas.microsoft.com/office/drawing/2014/main" id="{00000000-0008-0000-0200-000059090000}"/>
                </a:ext>
              </a:extLst>
            </xdr:cNvPr>
            <xdr:cNvGrpSpPr/>
          </xdr:nvGrpSpPr>
          <xdr:grpSpPr>
            <a:xfrm>
              <a:off x="14944724" y="105441747"/>
              <a:ext cx="1053296" cy="2743200"/>
              <a:chOff x="14944724" y="105441747"/>
              <a:chExt cx="1053296" cy="2743200"/>
            </a:xfrm>
          </xdr:grpSpPr>
          <xdr:grpSp>
            <xdr:nvGrpSpPr>
              <xdr:cNvPr id="2395" name="Group 2394">
                <a:extLst>
                  <a:ext uri="{FF2B5EF4-FFF2-40B4-BE49-F238E27FC236}">
                    <a16:creationId xmlns:a16="http://schemas.microsoft.com/office/drawing/2014/main" id="{00000000-0008-0000-0200-00005B09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400" name="Rectangle: Rounded Corners 2399">
                  <a:extLst>
                    <a:ext uri="{FF2B5EF4-FFF2-40B4-BE49-F238E27FC236}">
                      <a16:creationId xmlns:a16="http://schemas.microsoft.com/office/drawing/2014/main" id="{00000000-0008-0000-0200-00006009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1" name="Rectangle: Rounded Corners 2400">
                  <a:extLst>
                    <a:ext uri="{FF2B5EF4-FFF2-40B4-BE49-F238E27FC236}">
                      <a16:creationId xmlns:a16="http://schemas.microsoft.com/office/drawing/2014/main" id="{00000000-0008-0000-0200-00006109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2" name="Rectangle: Rounded Corners 2401">
                  <a:extLst>
                    <a:ext uri="{FF2B5EF4-FFF2-40B4-BE49-F238E27FC236}">
                      <a16:creationId xmlns:a16="http://schemas.microsoft.com/office/drawing/2014/main" id="{00000000-0008-0000-0200-00006209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3" name="Rectangle: Rounded Corners 2402">
                  <a:extLst>
                    <a:ext uri="{FF2B5EF4-FFF2-40B4-BE49-F238E27FC236}">
                      <a16:creationId xmlns:a16="http://schemas.microsoft.com/office/drawing/2014/main" id="{00000000-0008-0000-0200-00006309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4" name="Rectangle: Rounded Corners 2403">
                  <a:extLst>
                    <a:ext uri="{FF2B5EF4-FFF2-40B4-BE49-F238E27FC236}">
                      <a16:creationId xmlns:a16="http://schemas.microsoft.com/office/drawing/2014/main" id="{00000000-0008-0000-0200-00006409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5" name="Rectangle: Rounded Corners 2404">
                  <a:extLst>
                    <a:ext uri="{FF2B5EF4-FFF2-40B4-BE49-F238E27FC236}">
                      <a16:creationId xmlns:a16="http://schemas.microsoft.com/office/drawing/2014/main" id="{00000000-0008-0000-0200-00006509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6" name="Rectangle: Rounded Corners 2405">
                  <a:extLst>
                    <a:ext uri="{FF2B5EF4-FFF2-40B4-BE49-F238E27FC236}">
                      <a16:creationId xmlns:a16="http://schemas.microsoft.com/office/drawing/2014/main" id="{00000000-0008-0000-0200-00006609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96" name="Group 2395">
                <a:extLst>
                  <a:ext uri="{FF2B5EF4-FFF2-40B4-BE49-F238E27FC236}">
                    <a16:creationId xmlns:a16="http://schemas.microsoft.com/office/drawing/2014/main" id="{00000000-0008-0000-0200-00005C090000}"/>
                  </a:ext>
                </a:extLst>
              </xdr:cNvPr>
              <xdr:cNvGrpSpPr/>
            </xdr:nvGrpSpPr>
            <xdr:grpSpPr>
              <a:xfrm>
                <a:off x="15001875" y="106064797"/>
                <a:ext cx="953589" cy="1109382"/>
                <a:chOff x="-11112" y="0"/>
                <a:chExt cx="1112519" cy="1371600"/>
              </a:xfrm>
            </xdr:grpSpPr>
            <xdr:sp macro="" textlink="">
              <xdr:nvSpPr>
                <xdr:cNvPr id="2397" name="Rectangle 2396">
                  <a:extLst>
                    <a:ext uri="{FF2B5EF4-FFF2-40B4-BE49-F238E27FC236}">
                      <a16:creationId xmlns:a16="http://schemas.microsoft.com/office/drawing/2014/main" id="{00000000-0008-0000-0200-00005D09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98" name="Rectangle 2397">
                  <a:extLst>
                    <a:ext uri="{FF2B5EF4-FFF2-40B4-BE49-F238E27FC236}">
                      <a16:creationId xmlns:a16="http://schemas.microsoft.com/office/drawing/2014/main" id="{00000000-0008-0000-0200-00005E09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99" name="Straight Connector 2398">
                  <a:extLst>
                    <a:ext uri="{FF2B5EF4-FFF2-40B4-BE49-F238E27FC236}">
                      <a16:creationId xmlns:a16="http://schemas.microsoft.com/office/drawing/2014/main" id="{00000000-0008-0000-0200-00005F09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94" name="Thought Bubble: Cloud 2393">
              <a:extLst>
                <a:ext uri="{FF2B5EF4-FFF2-40B4-BE49-F238E27FC236}">
                  <a16:creationId xmlns:a16="http://schemas.microsoft.com/office/drawing/2014/main" id="{00000000-0008-0000-0200-00005A090000}"/>
                </a:ext>
              </a:extLst>
            </xdr:cNvPr>
            <xdr:cNvSpPr/>
          </xdr:nvSpPr>
          <xdr:spPr>
            <a:xfrm>
              <a:off x="14933712" y="104774999"/>
              <a:ext cx="1171575" cy="514351"/>
            </a:xfrm>
            <a:prstGeom prst="cloudCallout">
              <a:avLst>
                <a:gd name="adj1" fmla="val 4530"/>
                <a:gd name="adj2" fmla="val 103965"/>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51" name="Group 2250">
            <a:extLst>
              <a:ext uri="{FF2B5EF4-FFF2-40B4-BE49-F238E27FC236}">
                <a16:creationId xmlns:a16="http://schemas.microsoft.com/office/drawing/2014/main" id="{00000000-0008-0000-0200-0000CB080000}"/>
              </a:ext>
            </a:extLst>
          </xdr:cNvPr>
          <xdr:cNvGrpSpPr>
            <a:grpSpLocks noChangeAspect="1"/>
          </xdr:cNvGrpSpPr>
        </xdr:nvGrpSpPr>
        <xdr:grpSpPr>
          <a:xfrm>
            <a:off x="2049478" y="124745527"/>
            <a:ext cx="811344" cy="1991452"/>
            <a:chOff x="13365162" y="104788106"/>
            <a:chExt cx="1308883" cy="3425416"/>
          </a:xfrm>
        </xdr:grpSpPr>
        <xdr:grpSp>
          <xdr:nvGrpSpPr>
            <xdr:cNvPr id="2379" name="Group 2378">
              <a:extLst>
                <a:ext uri="{FF2B5EF4-FFF2-40B4-BE49-F238E27FC236}">
                  <a16:creationId xmlns:a16="http://schemas.microsoft.com/office/drawing/2014/main" id="{00000000-0008-0000-0200-00004B090000}"/>
                </a:ext>
              </a:extLst>
            </xdr:cNvPr>
            <xdr:cNvGrpSpPr/>
          </xdr:nvGrpSpPr>
          <xdr:grpSpPr>
            <a:xfrm>
              <a:off x="13620749" y="105470322"/>
              <a:ext cx="1053296" cy="2743200"/>
              <a:chOff x="13620749" y="105470322"/>
              <a:chExt cx="1053296" cy="2743200"/>
            </a:xfrm>
          </xdr:grpSpPr>
          <xdr:grpSp>
            <xdr:nvGrpSpPr>
              <xdr:cNvPr id="2381" name="Group 2380">
                <a:extLst>
                  <a:ext uri="{FF2B5EF4-FFF2-40B4-BE49-F238E27FC236}">
                    <a16:creationId xmlns:a16="http://schemas.microsoft.com/office/drawing/2014/main" id="{00000000-0008-0000-0200-00004D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86" name="Rectangle: Rounded Corners 2385">
                  <a:extLst>
                    <a:ext uri="{FF2B5EF4-FFF2-40B4-BE49-F238E27FC236}">
                      <a16:creationId xmlns:a16="http://schemas.microsoft.com/office/drawing/2014/main" id="{00000000-0008-0000-0200-00005209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7" name="Rectangle: Rounded Corners 2386">
                  <a:extLst>
                    <a:ext uri="{FF2B5EF4-FFF2-40B4-BE49-F238E27FC236}">
                      <a16:creationId xmlns:a16="http://schemas.microsoft.com/office/drawing/2014/main" id="{00000000-0008-0000-0200-00005309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8" name="Rectangle: Rounded Corners 2387">
                  <a:extLst>
                    <a:ext uri="{FF2B5EF4-FFF2-40B4-BE49-F238E27FC236}">
                      <a16:creationId xmlns:a16="http://schemas.microsoft.com/office/drawing/2014/main" id="{00000000-0008-0000-0200-00005409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9" name="Rectangle: Rounded Corners 2388">
                  <a:extLst>
                    <a:ext uri="{FF2B5EF4-FFF2-40B4-BE49-F238E27FC236}">
                      <a16:creationId xmlns:a16="http://schemas.microsoft.com/office/drawing/2014/main" id="{00000000-0008-0000-0200-00005509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0" name="Rectangle: Rounded Corners 2389">
                  <a:extLst>
                    <a:ext uri="{FF2B5EF4-FFF2-40B4-BE49-F238E27FC236}">
                      <a16:creationId xmlns:a16="http://schemas.microsoft.com/office/drawing/2014/main" id="{00000000-0008-0000-0200-00005609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1" name="Rectangle: Rounded Corners 2390">
                  <a:extLst>
                    <a:ext uri="{FF2B5EF4-FFF2-40B4-BE49-F238E27FC236}">
                      <a16:creationId xmlns:a16="http://schemas.microsoft.com/office/drawing/2014/main" id="{00000000-0008-0000-0200-00005709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2" name="Rectangle: Rounded Corners 2391">
                  <a:extLst>
                    <a:ext uri="{FF2B5EF4-FFF2-40B4-BE49-F238E27FC236}">
                      <a16:creationId xmlns:a16="http://schemas.microsoft.com/office/drawing/2014/main" id="{00000000-0008-0000-0200-00005809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82" name="Group 2381">
                <a:extLst>
                  <a:ext uri="{FF2B5EF4-FFF2-40B4-BE49-F238E27FC236}">
                    <a16:creationId xmlns:a16="http://schemas.microsoft.com/office/drawing/2014/main" id="{00000000-0008-0000-0200-00004E090000}"/>
                  </a:ext>
                </a:extLst>
              </xdr:cNvPr>
              <xdr:cNvGrpSpPr/>
            </xdr:nvGrpSpPr>
            <xdr:grpSpPr>
              <a:xfrm>
                <a:off x="13679805" y="106093372"/>
                <a:ext cx="953589" cy="1109382"/>
                <a:chOff x="0" y="0"/>
                <a:chExt cx="1112520" cy="1371600"/>
              </a:xfrm>
            </xdr:grpSpPr>
            <xdr:sp macro="" textlink="">
              <xdr:nvSpPr>
                <xdr:cNvPr id="2383" name="Rectangle 2382">
                  <a:extLst>
                    <a:ext uri="{FF2B5EF4-FFF2-40B4-BE49-F238E27FC236}">
                      <a16:creationId xmlns:a16="http://schemas.microsoft.com/office/drawing/2014/main" id="{00000000-0008-0000-0200-00004F09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84" name="Rectangle 2383">
                  <a:extLst>
                    <a:ext uri="{FF2B5EF4-FFF2-40B4-BE49-F238E27FC236}">
                      <a16:creationId xmlns:a16="http://schemas.microsoft.com/office/drawing/2014/main" id="{00000000-0008-0000-0200-00005009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85" name="Straight Connector 2384">
                  <a:extLst>
                    <a:ext uri="{FF2B5EF4-FFF2-40B4-BE49-F238E27FC236}">
                      <a16:creationId xmlns:a16="http://schemas.microsoft.com/office/drawing/2014/main" id="{00000000-0008-0000-0200-00005109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80" name="Thought Bubble: Cloud 2379">
              <a:extLst>
                <a:ext uri="{FF2B5EF4-FFF2-40B4-BE49-F238E27FC236}">
                  <a16:creationId xmlns:a16="http://schemas.microsoft.com/office/drawing/2014/main" id="{00000000-0008-0000-0200-00004C090000}"/>
                </a:ext>
              </a:extLst>
            </xdr:cNvPr>
            <xdr:cNvSpPr/>
          </xdr:nvSpPr>
          <xdr:spPr>
            <a:xfrm flipH="1">
              <a:off x="13365162" y="104788106"/>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69" name="Group 2268">
            <a:extLst>
              <a:ext uri="{FF2B5EF4-FFF2-40B4-BE49-F238E27FC236}">
                <a16:creationId xmlns:a16="http://schemas.microsoft.com/office/drawing/2014/main" id="{00000000-0008-0000-0200-0000DD080000}"/>
              </a:ext>
            </a:extLst>
          </xdr:cNvPr>
          <xdr:cNvGrpSpPr>
            <a:grpSpLocks noChangeAspect="1"/>
          </xdr:cNvGrpSpPr>
        </xdr:nvGrpSpPr>
        <xdr:grpSpPr>
          <a:xfrm>
            <a:off x="114300" y="124752992"/>
            <a:ext cx="726228" cy="1983839"/>
            <a:chOff x="13527313" y="104801201"/>
            <a:chExt cx="1171575" cy="3412321"/>
          </a:xfrm>
        </xdr:grpSpPr>
        <xdr:grpSp>
          <xdr:nvGrpSpPr>
            <xdr:cNvPr id="2329" name="Group 2328">
              <a:extLst>
                <a:ext uri="{FF2B5EF4-FFF2-40B4-BE49-F238E27FC236}">
                  <a16:creationId xmlns:a16="http://schemas.microsoft.com/office/drawing/2014/main" id="{00000000-0008-0000-0200-000019090000}"/>
                </a:ext>
              </a:extLst>
            </xdr:cNvPr>
            <xdr:cNvGrpSpPr/>
          </xdr:nvGrpSpPr>
          <xdr:grpSpPr>
            <a:xfrm>
              <a:off x="13620749" y="105470322"/>
              <a:ext cx="1053296" cy="2743200"/>
              <a:chOff x="13620749" y="105470322"/>
              <a:chExt cx="1053296" cy="2743200"/>
            </a:xfrm>
          </xdr:grpSpPr>
          <xdr:grpSp>
            <xdr:nvGrpSpPr>
              <xdr:cNvPr id="2331" name="Group 2330">
                <a:extLst>
                  <a:ext uri="{FF2B5EF4-FFF2-40B4-BE49-F238E27FC236}">
                    <a16:creationId xmlns:a16="http://schemas.microsoft.com/office/drawing/2014/main" id="{00000000-0008-0000-0200-00001B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36" name="Rectangle: Rounded Corners 2335">
                  <a:extLst>
                    <a:ext uri="{FF2B5EF4-FFF2-40B4-BE49-F238E27FC236}">
                      <a16:creationId xmlns:a16="http://schemas.microsoft.com/office/drawing/2014/main" id="{00000000-0008-0000-0200-00002009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37" name="Rectangle: Rounded Corners 2336">
                  <a:extLst>
                    <a:ext uri="{FF2B5EF4-FFF2-40B4-BE49-F238E27FC236}">
                      <a16:creationId xmlns:a16="http://schemas.microsoft.com/office/drawing/2014/main" id="{00000000-0008-0000-0200-00002109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8" name="Rectangle: Rounded Corners 2367">
                  <a:extLst>
                    <a:ext uri="{FF2B5EF4-FFF2-40B4-BE49-F238E27FC236}">
                      <a16:creationId xmlns:a16="http://schemas.microsoft.com/office/drawing/2014/main" id="{00000000-0008-0000-0200-00004009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0" name="Rectangle: Rounded Corners 2369">
                  <a:extLst>
                    <a:ext uri="{FF2B5EF4-FFF2-40B4-BE49-F238E27FC236}">
                      <a16:creationId xmlns:a16="http://schemas.microsoft.com/office/drawing/2014/main" id="{00000000-0008-0000-0200-00004209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1" name="Rectangle: Rounded Corners 2370">
                  <a:extLst>
                    <a:ext uri="{FF2B5EF4-FFF2-40B4-BE49-F238E27FC236}">
                      <a16:creationId xmlns:a16="http://schemas.microsoft.com/office/drawing/2014/main" id="{00000000-0008-0000-0200-00004309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7" name="Rectangle: Rounded Corners 2376">
                  <a:extLst>
                    <a:ext uri="{FF2B5EF4-FFF2-40B4-BE49-F238E27FC236}">
                      <a16:creationId xmlns:a16="http://schemas.microsoft.com/office/drawing/2014/main" id="{00000000-0008-0000-0200-00004909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8" name="Rectangle: Rounded Corners 2377">
                  <a:extLst>
                    <a:ext uri="{FF2B5EF4-FFF2-40B4-BE49-F238E27FC236}">
                      <a16:creationId xmlns:a16="http://schemas.microsoft.com/office/drawing/2014/main" id="{00000000-0008-0000-0200-00004A09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32" name="Group 2331">
                <a:extLst>
                  <a:ext uri="{FF2B5EF4-FFF2-40B4-BE49-F238E27FC236}">
                    <a16:creationId xmlns:a16="http://schemas.microsoft.com/office/drawing/2014/main" id="{00000000-0008-0000-0200-00001C090000}"/>
                  </a:ext>
                </a:extLst>
              </xdr:cNvPr>
              <xdr:cNvGrpSpPr/>
            </xdr:nvGrpSpPr>
            <xdr:grpSpPr>
              <a:xfrm>
                <a:off x="13679805" y="106093372"/>
                <a:ext cx="953589" cy="1109382"/>
                <a:chOff x="0" y="0"/>
                <a:chExt cx="1112520" cy="1371600"/>
              </a:xfrm>
            </xdr:grpSpPr>
            <xdr:sp macro="" textlink="">
              <xdr:nvSpPr>
                <xdr:cNvPr id="2333" name="Rectangle 2332">
                  <a:extLst>
                    <a:ext uri="{FF2B5EF4-FFF2-40B4-BE49-F238E27FC236}">
                      <a16:creationId xmlns:a16="http://schemas.microsoft.com/office/drawing/2014/main" id="{00000000-0008-0000-0200-00001D09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34" name="Rectangle 2333">
                  <a:extLst>
                    <a:ext uri="{FF2B5EF4-FFF2-40B4-BE49-F238E27FC236}">
                      <a16:creationId xmlns:a16="http://schemas.microsoft.com/office/drawing/2014/main" id="{00000000-0008-0000-0200-00001E09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35" name="Straight Connector 2334">
                  <a:extLst>
                    <a:ext uri="{FF2B5EF4-FFF2-40B4-BE49-F238E27FC236}">
                      <a16:creationId xmlns:a16="http://schemas.microsoft.com/office/drawing/2014/main" id="{00000000-0008-0000-0200-00001F09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30" name="Thought Bubble: Cloud 2329">
              <a:extLst>
                <a:ext uri="{FF2B5EF4-FFF2-40B4-BE49-F238E27FC236}">
                  <a16:creationId xmlns:a16="http://schemas.microsoft.com/office/drawing/2014/main" id="{00000000-0008-0000-0200-00001A090000}"/>
                </a:ext>
              </a:extLst>
            </xdr:cNvPr>
            <xdr:cNvSpPr/>
          </xdr:nvSpPr>
          <xdr:spPr>
            <a:xfrm flipH="1">
              <a:off x="13527313" y="104801201"/>
              <a:ext cx="1171575" cy="514351"/>
            </a:xfrm>
            <a:prstGeom prst="cloudCallout">
              <a:avLst>
                <a:gd name="adj1" fmla="val 6288"/>
                <a:gd name="adj2" fmla="val 117402"/>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70" name="Group 2269">
            <a:extLst>
              <a:ext uri="{FF2B5EF4-FFF2-40B4-BE49-F238E27FC236}">
                <a16:creationId xmlns:a16="http://schemas.microsoft.com/office/drawing/2014/main" id="{00000000-0008-0000-0200-0000DE080000}"/>
              </a:ext>
            </a:extLst>
          </xdr:cNvPr>
          <xdr:cNvGrpSpPr>
            <a:grpSpLocks noChangeAspect="1"/>
          </xdr:cNvGrpSpPr>
        </xdr:nvGrpSpPr>
        <xdr:grpSpPr>
          <a:xfrm>
            <a:off x="1056792" y="124745419"/>
            <a:ext cx="774162" cy="1991452"/>
            <a:chOff x="13425142" y="104788106"/>
            <a:chExt cx="1248903" cy="3425416"/>
          </a:xfrm>
        </xdr:grpSpPr>
        <xdr:grpSp>
          <xdr:nvGrpSpPr>
            <xdr:cNvPr id="2315" name="Group 2314">
              <a:extLst>
                <a:ext uri="{FF2B5EF4-FFF2-40B4-BE49-F238E27FC236}">
                  <a16:creationId xmlns:a16="http://schemas.microsoft.com/office/drawing/2014/main" id="{00000000-0008-0000-0200-00000B090000}"/>
                </a:ext>
              </a:extLst>
            </xdr:cNvPr>
            <xdr:cNvGrpSpPr/>
          </xdr:nvGrpSpPr>
          <xdr:grpSpPr>
            <a:xfrm>
              <a:off x="13620749" y="105470322"/>
              <a:ext cx="1053296" cy="2743200"/>
              <a:chOff x="13620749" y="105470322"/>
              <a:chExt cx="1053296" cy="2743200"/>
            </a:xfrm>
          </xdr:grpSpPr>
          <xdr:grpSp>
            <xdr:nvGrpSpPr>
              <xdr:cNvPr id="2317" name="Group 2316">
                <a:extLst>
                  <a:ext uri="{FF2B5EF4-FFF2-40B4-BE49-F238E27FC236}">
                    <a16:creationId xmlns:a16="http://schemas.microsoft.com/office/drawing/2014/main" id="{00000000-0008-0000-0200-00000D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22" name="Rectangle: Rounded Corners 2321">
                  <a:extLst>
                    <a:ext uri="{FF2B5EF4-FFF2-40B4-BE49-F238E27FC236}">
                      <a16:creationId xmlns:a16="http://schemas.microsoft.com/office/drawing/2014/main" id="{00000000-0008-0000-0200-00001209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3" name="Rectangle: Rounded Corners 2322">
                  <a:extLst>
                    <a:ext uri="{FF2B5EF4-FFF2-40B4-BE49-F238E27FC236}">
                      <a16:creationId xmlns:a16="http://schemas.microsoft.com/office/drawing/2014/main" id="{00000000-0008-0000-0200-00001309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4" name="Rectangle: Rounded Corners 2323">
                  <a:extLst>
                    <a:ext uri="{FF2B5EF4-FFF2-40B4-BE49-F238E27FC236}">
                      <a16:creationId xmlns:a16="http://schemas.microsoft.com/office/drawing/2014/main" id="{00000000-0008-0000-0200-00001409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5" name="Rectangle: Rounded Corners 2324">
                  <a:extLst>
                    <a:ext uri="{FF2B5EF4-FFF2-40B4-BE49-F238E27FC236}">
                      <a16:creationId xmlns:a16="http://schemas.microsoft.com/office/drawing/2014/main" id="{00000000-0008-0000-0200-00001509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6" name="Rectangle: Rounded Corners 2325">
                  <a:extLst>
                    <a:ext uri="{FF2B5EF4-FFF2-40B4-BE49-F238E27FC236}">
                      <a16:creationId xmlns:a16="http://schemas.microsoft.com/office/drawing/2014/main" id="{00000000-0008-0000-0200-00001609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7" name="Rectangle: Rounded Corners 2326">
                  <a:extLst>
                    <a:ext uri="{FF2B5EF4-FFF2-40B4-BE49-F238E27FC236}">
                      <a16:creationId xmlns:a16="http://schemas.microsoft.com/office/drawing/2014/main" id="{00000000-0008-0000-0200-00001709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8" name="Rectangle: Rounded Corners 2327">
                  <a:extLst>
                    <a:ext uri="{FF2B5EF4-FFF2-40B4-BE49-F238E27FC236}">
                      <a16:creationId xmlns:a16="http://schemas.microsoft.com/office/drawing/2014/main" id="{00000000-0008-0000-0200-00001809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18" name="Group 2317">
                <a:extLst>
                  <a:ext uri="{FF2B5EF4-FFF2-40B4-BE49-F238E27FC236}">
                    <a16:creationId xmlns:a16="http://schemas.microsoft.com/office/drawing/2014/main" id="{00000000-0008-0000-0200-00000E090000}"/>
                  </a:ext>
                </a:extLst>
              </xdr:cNvPr>
              <xdr:cNvGrpSpPr/>
            </xdr:nvGrpSpPr>
            <xdr:grpSpPr>
              <a:xfrm>
                <a:off x="13679805" y="106093372"/>
                <a:ext cx="953589" cy="1109382"/>
                <a:chOff x="0" y="0"/>
                <a:chExt cx="1112520" cy="1371600"/>
              </a:xfrm>
            </xdr:grpSpPr>
            <xdr:sp macro="" textlink="">
              <xdr:nvSpPr>
                <xdr:cNvPr id="2319" name="Rectangle 2318">
                  <a:extLst>
                    <a:ext uri="{FF2B5EF4-FFF2-40B4-BE49-F238E27FC236}">
                      <a16:creationId xmlns:a16="http://schemas.microsoft.com/office/drawing/2014/main" id="{00000000-0008-0000-0200-00000F09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20" name="Rectangle 2319">
                  <a:extLst>
                    <a:ext uri="{FF2B5EF4-FFF2-40B4-BE49-F238E27FC236}">
                      <a16:creationId xmlns:a16="http://schemas.microsoft.com/office/drawing/2014/main" id="{00000000-0008-0000-0200-00001009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21" name="Straight Connector 2320">
                  <a:extLst>
                    <a:ext uri="{FF2B5EF4-FFF2-40B4-BE49-F238E27FC236}">
                      <a16:creationId xmlns:a16="http://schemas.microsoft.com/office/drawing/2014/main" id="{00000000-0008-0000-0200-00001109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16" name="Thought Bubble: Cloud 2315">
              <a:extLst>
                <a:ext uri="{FF2B5EF4-FFF2-40B4-BE49-F238E27FC236}">
                  <a16:creationId xmlns:a16="http://schemas.microsoft.com/office/drawing/2014/main" id="{00000000-0008-0000-0200-00000C090000}"/>
                </a:ext>
              </a:extLst>
            </xdr:cNvPr>
            <xdr:cNvSpPr/>
          </xdr:nvSpPr>
          <xdr:spPr>
            <a:xfrm flipH="1">
              <a:off x="13425142" y="104788106"/>
              <a:ext cx="1171578" cy="514351"/>
            </a:xfrm>
            <a:prstGeom prst="cloudCallout">
              <a:avLst>
                <a:gd name="adj1" fmla="val -3155"/>
                <a:gd name="adj2" fmla="val 112306"/>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71" name="Group 2270">
            <a:extLst>
              <a:ext uri="{FF2B5EF4-FFF2-40B4-BE49-F238E27FC236}">
                <a16:creationId xmlns:a16="http://schemas.microsoft.com/office/drawing/2014/main" id="{00000000-0008-0000-0200-0000DF080000}"/>
              </a:ext>
            </a:extLst>
          </xdr:cNvPr>
          <xdr:cNvGrpSpPr>
            <a:grpSpLocks noChangeAspect="1"/>
          </xdr:cNvGrpSpPr>
        </xdr:nvGrpSpPr>
        <xdr:grpSpPr>
          <a:xfrm>
            <a:off x="4356118" y="124752993"/>
            <a:ext cx="789202" cy="1982459"/>
            <a:chOff x="14944724" y="104774999"/>
            <a:chExt cx="1273165" cy="3409948"/>
          </a:xfrm>
        </xdr:grpSpPr>
        <xdr:grpSp>
          <xdr:nvGrpSpPr>
            <xdr:cNvPr id="2272" name="Group 2271">
              <a:extLst>
                <a:ext uri="{FF2B5EF4-FFF2-40B4-BE49-F238E27FC236}">
                  <a16:creationId xmlns:a16="http://schemas.microsoft.com/office/drawing/2014/main" id="{00000000-0008-0000-0200-0000E0080000}"/>
                </a:ext>
              </a:extLst>
            </xdr:cNvPr>
            <xdr:cNvGrpSpPr/>
          </xdr:nvGrpSpPr>
          <xdr:grpSpPr>
            <a:xfrm>
              <a:off x="14944724" y="105441747"/>
              <a:ext cx="1053296" cy="2743200"/>
              <a:chOff x="14944724" y="105441747"/>
              <a:chExt cx="1053296" cy="2743200"/>
            </a:xfrm>
          </xdr:grpSpPr>
          <xdr:grpSp>
            <xdr:nvGrpSpPr>
              <xdr:cNvPr id="2303" name="Group 2302">
                <a:extLst>
                  <a:ext uri="{FF2B5EF4-FFF2-40B4-BE49-F238E27FC236}">
                    <a16:creationId xmlns:a16="http://schemas.microsoft.com/office/drawing/2014/main" id="{00000000-0008-0000-0200-0000FF08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308" name="Rectangle: Rounded Corners 2307">
                  <a:extLst>
                    <a:ext uri="{FF2B5EF4-FFF2-40B4-BE49-F238E27FC236}">
                      <a16:creationId xmlns:a16="http://schemas.microsoft.com/office/drawing/2014/main" id="{00000000-0008-0000-0200-00000409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09" name="Rectangle: Rounded Corners 2308">
                  <a:extLst>
                    <a:ext uri="{FF2B5EF4-FFF2-40B4-BE49-F238E27FC236}">
                      <a16:creationId xmlns:a16="http://schemas.microsoft.com/office/drawing/2014/main" id="{00000000-0008-0000-0200-00000509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0" name="Rectangle: Rounded Corners 2309">
                  <a:extLst>
                    <a:ext uri="{FF2B5EF4-FFF2-40B4-BE49-F238E27FC236}">
                      <a16:creationId xmlns:a16="http://schemas.microsoft.com/office/drawing/2014/main" id="{00000000-0008-0000-0200-00000609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1" name="Rectangle: Rounded Corners 2310">
                  <a:extLst>
                    <a:ext uri="{FF2B5EF4-FFF2-40B4-BE49-F238E27FC236}">
                      <a16:creationId xmlns:a16="http://schemas.microsoft.com/office/drawing/2014/main" id="{00000000-0008-0000-0200-00000709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2" name="Rectangle: Rounded Corners 2311">
                  <a:extLst>
                    <a:ext uri="{FF2B5EF4-FFF2-40B4-BE49-F238E27FC236}">
                      <a16:creationId xmlns:a16="http://schemas.microsoft.com/office/drawing/2014/main" id="{00000000-0008-0000-0200-00000809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3" name="Rectangle: Rounded Corners 2312">
                  <a:extLst>
                    <a:ext uri="{FF2B5EF4-FFF2-40B4-BE49-F238E27FC236}">
                      <a16:creationId xmlns:a16="http://schemas.microsoft.com/office/drawing/2014/main" id="{00000000-0008-0000-0200-00000909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4" name="Rectangle: Rounded Corners 2313">
                  <a:extLst>
                    <a:ext uri="{FF2B5EF4-FFF2-40B4-BE49-F238E27FC236}">
                      <a16:creationId xmlns:a16="http://schemas.microsoft.com/office/drawing/2014/main" id="{00000000-0008-0000-0200-00000A09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04" name="Group 2303">
                <a:extLst>
                  <a:ext uri="{FF2B5EF4-FFF2-40B4-BE49-F238E27FC236}">
                    <a16:creationId xmlns:a16="http://schemas.microsoft.com/office/drawing/2014/main" id="{00000000-0008-0000-0200-000000090000}"/>
                  </a:ext>
                </a:extLst>
              </xdr:cNvPr>
              <xdr:cNvGrpSpPr/>
            </xdr:nvGrpSpPr>
            <xdr:grpSpPr>
              <a:xfrm>
                <a:off x="15001875" y="106064797"/>
                <a:ext cx="953589" cy="1109382"/>
                <a:chOff x="-11112" y="0"/>
                <a:chExt cx="1112519" cy="1371600"/>
              </a:xfrm>
            </xdr:grpSpPr>
            <xdr:sp macro="" textlink="">
              <xdr:nvSpPr>
                <xdr:cNvPr id="2305" name="Rectangle 2304">
                  <a:extLst>
                    <a:ext uri="{FF2B5EF4-FFF2-40B4-BE49-F238E27FC236}">
                      <a16:creationId xmlns:a16="http://schemas.microsoft.com/office/drawing/2014/main" id="{00000000-0008-0000-0200-00000109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06" name="Rectangle 2305">
                  <a:extLst>
                    <a:ext uri="{FF2B5EF4-FFF2-40B4-BE49-F238E27FC236}">
                      <a16:creationId xmlns:a16="http://schemas.microsoft.com/office/drawing/2014/main" id="{00000000-0008-0000-0200-00000209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07" name="Straight Connector 2306">
                  <a:extLst>
                    <a:ext uri="{FF2B5EF4-FFF2-40B4-BE49-F238E27FC236}">
                      <a16:creationId xmlns:a16="http://schemas.microsoft.com/office/drawing/2014/main" id="{00000000-0008-0000-0200-00000309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02" name="Thought Bubble: Cloud 2301">
              <a:extLst>
                <a:ext uri="{FF2B5EF4-FFF2-40B4-BE49-F238E27FC236}">
                  <a16:creationId xmlns:a16="http://schemas.microsoft.com/office/drawing/2014/main" id="{00000000-0008-0000-0200-0000FE08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0</xdr:col>
      <xdr:colOff>0</xdr:colOff>
      <xdr:row>507</xdr:row>
      <xdr:rowOff>22860</xdr:rowOff>
    </xdr:from>
    <xdr:to>
      <xdr:col>13</xdr:col>
      <xdr:colOff>99060</xdr:colOff>
      <xdr:row>553</xdr:row>
      <xdr:rowOff>0</xdr:rowOff>
    </xdr:to>
    <xdr:grpSp>
      <xdr:nvGrpSpPr>
        <xdr:cNvPr id="2279" name="Group 2278">
          <a:extLst>
            <a:ext uri="{FF2B5EF4-FFF2-40B4-BE49-F238E27FC236}">
              <a16:creationId xmlns:a16="http://schemas.microsoft.com/office/drawing/2014/main" id="{00000000-0008-0000-0200-0000E7080000}"/>
            </a:ext>
          </a:extLst>
        </xdr:cNvPr>
        <xdr:cNvGrpSpPr/>
      </xdr:nvGrpSpPr>
      <xdr:grpSpPr>
        <a:xfrm>
          <a:off x="0" y="102085140"/>
          <a:ext cx="6248400" cy="8054340"/>
          <a:chOff x="15455900" y="60706000"/>
          <a:chExt cx="6375400" cy="7823200"/>
        </a:xfrm>
      </xdr:grpSpPr>
      <xdr:sp macro="" textlink="">
        <xdr:nvSpPr>
          <xdr:cNvPr id="2280" name="Rectangle 2279">
            <a:extLst>
              <a:ext uri="{FF2B5EF4-FFF2-40B4-BE49-F238E27FC236}">
                <a16:creationId xmlns:a16="http://schemas.microsoft.com/office/drawing/2014/main" id="{00000000-0008-0000-0200-0000E808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1" name="Rectangle 2280">
            <a:extLst>
              <a:ext uri="{FF2B5EF4-FFF2-40B4-BE49-F238E27FC236}">
                <a16:creationId xmlns:a16="http://schemas.microsoft.com/office/drawing/2014/main" id="{00000000-0008-0000-0200-0000E908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2282" name="Group 2281">
            <a:extLst>
              <a:ext uri="{FF2B5EF4-FFF2-40B4-BE49-F238E27FC236}">
                <a16:creationId xmlns:a16="http://schemas.microsoft.com/office/drawing/2014/main" id="{00000000-0008-0000-0200-0000EA080000}"/>
              </a:ext>
            </a:extLst>
          </xdr:cNvPr>
          <xdr:cNvGrpSpPr/>
        </xdr:nvGrpSpPr>
        <xdr:grpSpPr>
          <a:xfrm>
            <a:off x="16306800" y="60706000"/>
            <a:ext cx="2296879" cy="7823200"/>
            <a:chOff x="3796580" y="60718700"/>
            <a:chExt cx="2296879" cy="7823200"/>
          </a:xfrm>
        </xdr:grpSpPr>
        <xdr:sp macro="" textlink="">
          <xdr:nvSpPr>
            <xdr:cNvPr id="2289" name="Freeform: Shape 2288">
              <a:extLst>
                <a:ext uri="{FF2B5EF4-FFF2-40B4-BE49-F238E27FC236}">
                  <a16:creationId xmlns:a16="http://schemas.microsoft.com/office/drawing/2014/main" id="{00000000-0008-0000-0200-0000F108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0" name="Freeform: Shape 2289">
              <a:extLst>
                <a:ext uri="{FF2B5EF4-FFF2-40B4-BE49-F238E27FC236}">
                  <a16:creationId xmlns:a16="http://schemas.microsoft.com/office/drawing/2014/main" id="{00000000-0008-0000-0200-0000F208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1" name="Freeform: Shape 2290">
              <a:extLst>
                <a:ext uri="{FF2B5EF4-FFF2-40B4-BE49-F238E27FC236}">
                  <a16:creationId xmlns:a16="http://schemas.microsoft.com/office/drawing/2014/main" id="{00000000-0008-0000-0200-0000F308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2" name="Freeform: Shape 2291">
              <a:extLst>
                <a:ext uri="{FF2B5EF4-FFF2-40B4-BE49-F238E27FC236}">
                  <a16:creationId xmlns:a16="http://schemas.microsoft.com/office/drawing/2014/main" id="{00000000-0008-0000-0200-0000F408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3" name="Freeform: Shape 2292">
              <a:extLst>
                <a:ext uri="{FF2B5EF4-FFF2-40B4-BE49-F238E27FC236}">
                  <a16:creationId xmlns:a16="http://schemas.microsoft.com/office/drawing/2014/main" id="{00000000-0008-0000-0200-0000F508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2283" name="Group 2282">
            <a:extLst>
              <a:ext uri="{FF2B5EF4-FFF2-40B4-BE49-F238E27FC236}">
                <a16:creationId xmlns:a16="http://schemas.microsoft.com/office/drawing/2014/main" id="{00000000-0008-0000-0200-0000EB080000}"/>
              </a:ext>
            </a:extLst>
          </xdr:cNvPr>
          <xdr:cNvGrpSpPr/>
        </xdr:nvGrpSpPr>
        <xdr:grpSpPr>
          <a:xfrm>
            <a:off x="18742660" y="60706000"/>
            <a:ext cx="2256239" cy="7823200"/>
            <a:chOff x="7845340" y="60718700"/>
            <a:chExt cx="2256239" cy="7823200"/>
          </a:xfrm>
        </xdr:grpSpPr>
        <xdr:sp macro="" textlink="">
          <xdr:nvSpPr>
            <xdr:cNvPr id="2284" name="Freeform: Shape 2283">
              <a:extLst>
                <a:ext uri="{FF2B5EF4-FFF2-40B4-BE49-F238E27FC236}">
                  <a16:creationId xmlns:a16="http://schemas.microsoft.com/office/drawing/2014/main" id="{00000000-0008-0000-0200-0000EC08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5" name="Freeform: Shape 2284">
              <a:extLst>
                <a:ext uri="{FF2B5EF4-FFF2-40B4-BE49-F238E27FC236}">
                  <a16:creationId xmlns:a16="http://schemas.microsoft.com/office/drawing/2014/main" id="{00000000-0008-0000-0200-0000ED08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6" name="Freeform: Shape 2285">
              <a:extLst>
                <a:ext uri="{FF2B5EF4-FFF2-40B4-BE49-F238E27FC236}">
                  <a16:creationId xmlns:a16="http://schemas.microsoft.com/office/drawing/2014/main" id="{00000000-0008-0000-0200-0000EE08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7" name="Freeform: Shape 2286">
              <a:extLst>
                <a:ext uri="{FF2B5EF4-FFF2-40B4-BE49-F238E27FC236}">
                  <a16:creationId xmlns:a16="http://schemas.microsoft.com/office/drawing/2014/main" id="{00000000-0008-0000-0200-0000EF08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8" name="Freeform: Shape 2287">
              <a:extLst>
                <a:ext uri="{FF2B5EF4-FFF2-40B4-BE49-F238E27FC236}">
                  <a16:creationId xmlns:a16="http://schemas.microsoft.com/office/drawing/2014/main" id="{00000000-0008-0000-0200-0000F008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11</xdr:col>
      <xdr:colOff>176116</xdr:colOff>
      <xdr:row>201</xdr:row>
      <xdr:rowOff>0</xdr:rowOff>
    </xdr:from>
    <xdr:to>
      <xdr:col>13</xdr:col>
      <xdr:colOff>106680</xdr:colOff>
      <xdr:row>235</xdr:row>
      <xdr:rowOff>0</xdr:rowOff>
    </xdr:to>
    <xdr:sp macro="" textlink="">
      <xdr:nvSpPr>
        <xdr:cNvPr id="978" name="Freeform: Shape 977">
          <a:extLst>
            <a:ext uri="{FF2B5EF4-FFF2-40B4-BE49-F238E27FC236}">
              <a16:creationId xmlns:a16="http://schemas.microsoft.com/office/drawing/2014/main" id="{00000000-0008-0000-0200-0000D2030000}"/>
            </a:ext>
          </a:extLst>
        </xdr:cNvPr>
        <xdr:cNvSpPr/>
      </xdr:nvSpPr>
      <xdr:spPr>
        <a:xfrm flipH="1">
          <a:off x="5251036" y="43281600"/>
          <a:ext cx="921164" cy="749046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25113 w 1830513"/>
            <a:gd name="connsiteY40" fmla="*/ 5967797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70733 w 1830513"/>
            <a:gd name="connsiteY39" fmla="*/ 5934910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8562896"/>
            <a:gd name="connsiteX1" fmla="*/ 1161 w 1830513"/>
            <a:gd name="connsiteY1" fmla="*/ 0 h 8562896"/>
            <a:gd name="connsiteX2" fmla="*/ 230313 w 1830513"/>
            <a:gd name="connsiteY2" fmla="*/ 0 h 8562896"/>
            <a:gd name="connsiteX3" fmla="*/ 484313 w 1830513"/>
            <a:gd name="connsiteY3" fmla="*/ 25400 h 8562896"/>
            <a:gd name="connsiteX4" fmla="*/ 687513 w 1830513"/>
            <a:gd name="connsiteY4" fmla="*/ 114300 h 8562896"/>
            <a:gd name="connsiteX5" fmla="*/ 878565 w 1830513"/>
            <a:gd name="connsiteY5" fmla="*/ 231602 h 8562896"/>
            <a:gd name="connsiteX6" fmla="*/ 1043113 w 1830513"/>
            <a:gd name="connsiteY6" fmla="*/ 393700 h 8562896"/>
            <a:gd name="connsiteX7" fmla="*/ 1208213 w 1830513"/>
            <a:gd name="connsiteY7" fmla="*/ 673100 h 8562896"/>
            <a:gd name="connsiteX8" fmla="*/ 1297113 w 1830513"/>
            <a:gd name="connsiteY8" fmla="*/ 889000 h 8562896"/>
            <a:gd name="connsiteX9" fmla="*/ 1462213 w 1830513"/>
            <a:gd name="connsiteY9" fmla="*/ 1473200 h 8562896"/>
            <a:gd name="connsiteX10" fmla="*/ 1525713 w 1830513"/>
            <a:gd name="connsiteY10" fmla="*/ 1905000 h 8562896"/>
            <a:gd name="connsiteX11" fmla="*/ 1563813 w 1830513"/>
            <a:gd name="connsiteY11" fmla="*/ 2273300 h 8562896"/>
            <a:gd name="connsiteX12" fmla="*/ 1589213 w 1830513"/>
            <a:gd name="connsiteY12" fmla="*/ 2654300 h 8562896"/>
            <a:gd name="connsiteX13" fmla="*/ 1551113 w 1830513"/>
            <a:gd name="connsiteY13" fmla="*/ 2768600 h 8562896"/>
            <a:gd name="connsiteX14" fmla="*/ 1500313 w 1830513"/>
            <a:gd name="connsiteY14" fmla="*/ 2882900 h 8562896"/>
            <a:gd name="connsiteX15" fmla="*/ 1466079 w 1830513"/>
            <a:gd name="connsiteY15" fmla="*/ 2990811 h 8562896"/>
            <a:gd name="connsiteX16" fmla="*/ 1513013 w 1830513"/>
            <a:gd name="connsiteY16" fmla="*/ 3175000 h 8562896"/>
            <a:gd name="connsiteX17" fmla="*/ 1779713 w 1830513"/>
            <a:gd name="connsiteY17" fmla="*/ 3886200 h 8562896"/>
            <a:gd name="connsiteX18" fmla="*/ 1817813 w 1830513"/>
            <a:gd name="connsiteY18" fmla="*/ 4000500 h 8562896"/>
            <a:gd name="connsiteX19" fmla="*/ 1830513 w 1830513"/>
            <a:gd name="connsiteY19" fmla="*/ 4102100 h 8562896"/>
            <a:gd name="connsiteX20" fmla="*/ 1823888 w 1830513"/>
            <a:gd name="connsiteY20" fmla="*/ 4180455 h 8562896"/>
            <a:gd name="connsiteX21" fmla="*/ 1767013 w 1830513"/>
            <a:gd name="connsiteY21" fmla="*/ 4241800 h 8562896"/>
            <a:gd name="connsiteX22" fmla="*/ 1652713 w 1830513"/>
            <a:gd name="connsiteY22" fmla="*/ 4356100 h 8562896"/>
            <a:gd name="connsiteX23" fmla="*/ 1601913 w 1830513"/>
            <a:gd name="connsiteY23" fmla="*/ 4521200 h 8562896"/>
            <a:gd name="connsiteX24" fmla="*/ 1614613 w 1830513"/>
            <a:gd name="connsiteY24" fmla="*/ 4724400 h 8562896"/>
            <a:gd name="connsiteX25" fmla="*/ 1614613 w 1830513"/>
            <a:gd name="connsiteY25" fmla="*/ 4876800 h 8562896"/>
            <a:gd name="connsiteX26" fmla="*/ 1589213 w 1830513"/>
            <a:gd name="connsiteY26" fmla="*/ 4889500 h 8562896"/>
            <a:gd name="connsiteX27" fmla="*/ 1525713 w 1830513"/>
            <a:gd name="connsiteY27" fmla="*/ 4914900 h 8562896"/>
            <a:gd name="connsiteX28" fmla="*/ 1436813 w 1830513"/>
            <a:gd name="connsiteY28" fmla="*/ 4927600 h 8562896"/>
            <a:gd name="connsiteX29" fmla="*/ 1538413 w 1830513"/>
            <a:gd name="connsiteY29" fmla="*/ 4965700 h 8562896"/>
            <a:gd name="connsiteX30" fmla="*/ 1601913 w 1830513"/>
            <a:gd name="connsiteY30" fmla="*/ 5041900 h 8562896"/>
            <a:gd name="connsiteX31" fmla="*/ 1627313 w 1830513"/>
            <a:gd name="connsiteY31" fmla="*/ 5118100 h 8562896"/>
            <a:gd name="connsiteX32" fmla="*/ 1589213 w 1830513"/>
            <a:gd name="connsiteY32" fmla="*/ 5194300 h 8562896"/>
            <a:gd name="connsiteX33" fmla="*/ 1513013 w 1830513"/>
            <a:gd name="connsiteY33" fmla="*/ 5283200 h 8562896"/>
            <a:gd name="connsiteX34" fmla="*/ 1487613 w 1830513"/>
            <a:gd name="connsiteY34" fmla="*/ 5384800 h 8562896"/>
            <a:gd name="connsiteX35" fmla="*/ 1487613 w 1830513"/>
            <a:gd name="connsiteY35" fmla="*/ 5473700 h 8562896"/>
            <a:gd name="connsiteX36" fmla="*/ 1500313 w 1830513"/>
            <a:gd name="connsiteY36" fmla="*/ 5638800 h 8562896"/>
            <a:gd name="connsiteX37" fmla="*/ 1345217 w 1830513"/>
            <a:gd name="connsiteY37" fmla="*/ 5792537 h 8562896"/>
            <a:gd name="connsiteX38" fmla="*/ 968967 w 1830513"/>
            <a:gd name="connsiteY38" fmla="*/ 5837856 h 8562896"/>
            <a:gd name="connsiteX39" fmla="*/ 788653 w 1830513"/>
            <a:gd name="connsiteY39" fmla="*/ 5877575 h 8562896"/>
            <a:gd name="connsiteX40" fmla="*/ 655454 w 1830513"/>
            <a:gd name="connsiteY40" fmla="*/ 6036937 h 8562896"/>
            <a:gd name="connsiteX41" fmla="*/ 631533 w 1830513"/>
            <a:gd name="connsiteY41" fmla="*/ 6239577 h 8562896"/>
            <a:gd name="connsiteX42" fmla="*/ 585913 w 1830513"/>
            <a:gd name="connsiteY42" fmla="*/ 6591300 h 8562896"/>
            <a:gd name="connsiteX43" fmla="*/ 334395 w 1830513"/>
            <a:gd name="connsiteY43" fmla="*/ 8562896 h 8562896"/>
            <a:gd name="connsiteX44" fmla="*/ 1713 w 1830513"/>
            <a:gd name="connsiteY44" fmla="*/ 7823200 h 8562896"/>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668995 w 1844054"/>
            <a:gd name="connsiteY40" fmla="*/ 60369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470689 w 1844054"/>
            <a:gd name="connsiteY40" fmla="*/ 59685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531706 w 1844054"/>
            <a:gd name="connsiteY40" fmla="*/ 59514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Lst>
          <a:rect l="l" t="t" r="r" b="b"/>
          <a:pathLst>
            <a:path w="1844054" h="8575595">
              <a:moveTo>
                <a:pt x="0" y="8575595"/>
              </a:moveTo>
              <a:cubicBezTo>
                <a:pt x="4233" y="5967862"/>
                <a:pt x="10469" y="2607733"/>
                <a:pt x="14702" y="0"/>
              </a:cubicBezTo>
              <a:lnTo>
                <a:pt x="243854" y="0"/>
              </a:lnTo>
              <a:cubicBezTo>
                <a:pt x="324379" y="4233"/>
                <a:pt x="421654" y="6350"/>
                <a:pt x="497854" y="25400"/>
              </a:cubicBezTo>
              <a:cubicBezTo>
                <a:pt x="574054" y="44450"/>
                <a:pt x="635345" y="79933"/>
                <a:pt x="701054" y="114300"/>
              </a:cubicBezTo>
              <a:cubicBezTo>
                <a:pt x="766763" y="148667"/>
                <a:pt x="832839" y="185035"/>
                <a:pt x="892106" y="231602"/>
              </a:cubicBezTo>
              <a:cubicBezTo>
                <a:pt x="951373" y="278169"/>
                <a:pt x="1001713" y="320117"/>
                <a:pt x="1056654" y="393700"/>
              </a:cubicBezTo>
              <a:cubicBezTo>
                <a:pt x="1111595" y="467283"/>
                <a:pt x="1179421" y="590550"/>
                <a:pt x="1221754" y="673100"/>
              </a:cubicBezTo>
              <a:lnTo>
                <a:pt x="1310654" y="889000"/>
              </a:lnTo>
              <a:cubicBezTo>
                <a:pt x="1340287" y="960967"/>
                <a:pt x="1437654" y="1303867"/>
                <a:pt x="1475754" y="1473200"/>
              </a:cubicBezTo>
              <a:lnTo>
                <a:pt x="1539254" y="1905000"/>
              </a:lnTo>
              <a:lnTo>
                <a:pt x="1577354" y="2273300"/>
              </a:lnTo>
              <a:lnTo>
                <a:pt x="1602754" y="2654300"/>
              </a:lnTo>
              <a:lnTo>
                <a:pt x="1564654" y="2768600"/>
              </a:lnTo>
              <a:lnTo>
                <a:pt x="1513854" y="2882900"/>
              </a:lnTo>
              <a:lnTo>
                <a:pt x="1479620" y="2990811"/>
              </a:lnTo>
              <a:lnTo>
                <a:pt x="1526554" y="3175000"/>
              </a:lnTo>
              <a:lnTo>
                <a:pt x="1793254" y="3886200"/>
              </a:lnTo>
              <a:lnTo>
                <a:pt x="1831354" y="4000500"/>
              </a:lnTo>
              <a:lnTo>
                <a:pt x="1844054" y="4102100"/>
              </a:lnTo>
              <a:lnTo>
                <a:pt x="1837429" y="4180455"/>
              </a:lnTo>
              <a:lnTo>
                <a:pt x="1780554" y="4241800"/>
              </a:lnTo>
              <a:lnTo>
                <a:pt x="1666254" y="4356100"/>
              </a:lnTo>
              <a:lnTo>
                <a:pt x="1615454" y="4521200"/>
              </a:lnTo>
              <a:lnTo>
                <a:pt x="1628154" y="4724400"/>
              </a:lnTo>
              <a:cubicBezTo>
                <a:pt x="1630271" y="4783667"/>
                <a:pt x="1632387" y="4849283"/>
                <a:pt x="1628154" y="4876800"/>
              </a:cubicBezTo>
              <a:cubicBezTo>
                <a:pt x="1623921" y="4904317"/>
                <a:pt x="1617571" y="4883150"/>
                <a:pt x="1602754" y="4889500"/>
              </a:cubicBezTo>
              <a:lnTo>
                <a:pt x="1539254" y="4914900"/>
              </a:lnTo>
              <a:lnTo>
                <a:pt x="1450354" y="4927600"/>
              </a:lnTo>
              <a:lnTo>
                <a:pt x="1551954" y="4965700"/>
              </a:lnTo>
              <a:lnTo>
                <a:pt x="1615454" y="5041900"/>
              </a:lnTo>
              <a:lnTo>
                <a:pt x="1640854" y="5118100"/>
              </a:lnTo>
              <a:lnTo>
                <a:pt x="1602754" y="5194300"/>
              </a:lnTo>
              <a:lnTo>
                <a:pt x="1526554" y="5283200"/>
              </a:lnTo>
              <a:lnTo>
                <a:pt x="1501154" y="5384800"/>
              </a:lnTo>
              <a:lnTo>
                <a:pt x="1501154" y="5473700"/>
              </a:lnTo>
              <a:lnTo>
                <a:pt x="1513854" y="5638800"/>
              </a:lnTo>
              <a:cubicBezTo>
                <a:pt x="1490121" y="5691939"/>
                <a:pt x="1447316" y="5759361"/>
                <a:pt x="1358758" y="5792537"/>
              </a:cubicBezTo>
              <a:lnTo>
                <a:pt x="982508" y="5837856"/>
              </a:lnTo>
              <a:cubicBezTo>
                <a:pt x="922403" y="5851096"/>
                <a:pt x="877328" y="5858645"/>
                <a:pt x="802194" y="5877575"/>
              </a:cubicBezTo>
              <a:cubicBezTo>
                <a:pt x="727060" y="5896505"/>
                <a:pt x="567618" y="5904402"/>
                <a:pt x="531706" y="5951437"/>
              </a:cubicBezTo>
              <a:lnTo>
                <a:pt x="309480" y="6265227"/>
              </a:lnTo>
              <a:lnTo>
                <a:pt x="233350" y="6693900"/>
              </a:lnTo>
              <a:lnTo>
                <a:pt x="164884" y="8571446"/>
              </a:lnTo>
              <a:lnTo>
                <a:pt x="0" y="8575595"/>
              </a:lnTo>
              <a:close/>
            </a:path>
          </a:pathLst>
        </a:custGeom>
        <a:solidFill>
          <a:srgbClr val="FFCCCC"/>
        </a:solidFill>
        <a:ln>
          <a:noFill/>
        </a:ln>
        <a:effectLst>
          <a:outerShdw blurRad="50800" dist="38100" dir="10800000" algn="r" rotWithShape="0">
            <a:srgbClr val="C00000">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clientData/>
  </xdr:twoCellAnchor>
  <xdr:twoCellAnchor>
    <xdr:from>
      <xdr:col>0</xdr:col>
      <xdr:colOff>856</xdr:colOff>
      <xdr:row>201</xdr:row>
      <xdr:rowOff>0</xdr:rowOff>
    </xdr:from>
    <xdr:to>
      <xdr:col>2</xdr:col>
      <xdr:colOff>304800</xdr:colOff>
      <xdr:row>235</xdr:row>
      <xdr:rowOff>0</xdr:rowOff>
    </xdr:to>
    <xdr:sp macro="" textlink="">
      <xdr:nvSpPr>
        <xdr:cNvPr id="1170" name="Freeform: Shape 1169">
          <a:extLst>
            <a:ext uri="{FF2B5EF4-FFF2-40B4-BE49-F238E27FC236}">
              <a16:creationId xmlns:a16="http://schemas.microsoft.com/office/drawing/2014/main" id="{00000000-0008-0000-0200-000092040000}"/>
            </a:ext>
          </a:extLst>
        </xdr:cNvPr>
        <xdr:cNvSpPr/>
      </xdr:nvSpPr>
      <xdr:spPr>
        <a:xfrm>
          <a:off x="856" y="43281600"/>
          <a:ext cx="921164" cy="749046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25113 w 1830513"/>
            <a:gd name="connsiteY40" fmla="*/ 5967797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70733 w 1830513"/>
            <a:gd name="connsiteY39" fmla="*/ 5934910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8562896"/>
            <a:gd name="connsiteX1" fmla="*/ 1161 w 1830513"/>
            <a:gd name="connsiteY1" fmla="*/ 0 h 8562896"/>
            <a:gd name="connsiteX2" fmla="*/ 230313 w 1830513"/>
            <a:gd name="connsiteY2" fmla="*/ 0 h 8562896"/>
            <a:gd name="connsiteX3" fmla="*/ 484313 w 1830513"/>
            <a:gd name="connsiteY3" fmla="*/ 25400 h 8562896"/>
            <a:gd name="connsiteX4" fmla="*/ 687513 w 1830513"/>
            <a:gd name="connsiteY4" fmla="*/ 114300 h 8562896"/>
            <a:gd name="connsiteX5" fmla="*/ 878565 w 1830513"/>
            <a:gd name="connsiteY5" fmla="*/ 231602 h 8562896"/>
            <a:gd name="connsiteX6" fmla="*/ 1043113 w 1830513"/>
            <a:gd name="connsiteY6" fmla="*/ 393700 h 8562896"/>
            <a:gd name="connsiteX7" fmla="*/ 1208213 w 1830513"/>
            <a:gd name="connsiteY7" fmla="*/ 673100 h 8562896"/>
            <a:gd name="connsiteX8" fmla="*/ 1297113 w 1830513"/>
            <a:gd name="connsiteY8" fmla="*/ 889000 h 8562896"/>
            <a:gd name="connsiteX9" fmla="*/ 1462213 w 1830513"/>
            <a:gd name="connsiteY9" fmla="*/ 1473200 h 8562896"/>
            <a:gd name="connsiteX10" fmla="*/ 1525713 w 1830513"/>
            <a:gd name="connsiteY10" fmla="*/ 1905000 h 8562896"/>
            <a:gd name="connsiteX11" fmla="*/ 1563813 w 1830513"/>
            <a:gd name="connsiteY11" fmla="*/ 2273300 h 8562896"/>
            <a:gd name="connsiteX12" fmla="*/ 1589213 w 1830513"/>
            <a:gd name="connsiteY12" fmla="*/ 2654300 h 8562896"/>
            <a:gd name="connsiteX13" fmla="*/ 1551113 w 1830513"/>
            <a:gd name="connsiteY13" fmla="*/ 2768600 h 8562896"/>
            <a:gd name="connsiteX14" fmla="*/ 1500313 w 1830513"/>
            <a:gd name="connsiteY14" fmla="*/ 2882900 h 8562896"/>
            <a:gd name="connsiteX15" fmla="*/ 1466079 w 1830513"/>
            <a:gd name="connsiteY15" fmla="*/ 2990811 h 8562896"/>
            <a:gd name="connsiteX16" fmla="*/ 1513013 w 1830513"/>
            <a:gd name="connsiteY16" fmla="*/ 3175000 h 8562896"/>
            <a:gd name="connsiteX17" fmla="*/ 1779713 w 1830513"/>
            <a:gd name="connsiteY17" fmla="*/ 3886200 h 8562896"/>
            <a:gd name="connsiteX18" fmla="*/ 1817813 w 1830513"/>
            <a:gd name="connsiteY18" fmla="*/ 4000500 h 8562896"/>
            <a:gd name="connsiteX19" fmla="*/ 1830513 w 1830513"/>
            <a:gd name="connsiteY19" fmla="*/ 4102100 h 8562896"/>
            <a:gd name="connsiteX20" fmla="*/ 1823888 w 1830513"/>
            <a:gd name="connsiteY20" fmla="*/ 4180455 h 8562896"/>
            <a:gd name="connsiteX21" fmla="*/ 1767013 w 1830513"/>
            <a:gd name="connsiteY21" fmla="*/ 4241800 h 8562896"/>
            <a:gd name="connsiteX22" fmla="*/ 1652713 w 1830513"/>
            <a:gd name="connsiteY22" fmla="*/ 4356100 h 8562896"/>
            <a:gd name="connsiteX23" fmla="*/ 1601913 w 1830513"/>
            <a:gd name="connsiteY23" fmla="*/ 4521200 h 8562896"/>
            <a:gd name="connsiteX24" fmla="*/ 1614613 w 1830513"/>
            <a:gd name="connsiteY24" fmla="*/ 4724400 h 8562896"/>
            <a:gd name="connsiteX25" fmla="*/ 1614613 w 1830513"/>
            <a:gd name="connsiteY25" fmla="*/ 4876800 h 8562896"/>
            <a:gd name="connsiteX26" fmla="*/ 1589213 w 1830513"/>
            <a:gd name="connsiteY26" fmla="*/ 4889500 h 8562896"/>
            <a:gd name="connsiteX27" fmla="*/ 1525713 w 1830513"/>
            <a:gd name="connsiteY27" fmla="*/ 4914900 h 8562896"/>
            <a:gd name="connsiteX28" fmla="*/ 1436813 w 1830513"/>
            <a:gd name="connsiteY28" fmla="*/ 4927600 h 8562896"/>
            <a:gd name="connsiteX29" fmla="*/ 1538413 w 1830513"/>
            <a:gd name="connsiteY29" fmla="*/ 4965700 h 8562896"/>
            <a:gd name="connsiteX30" fmla="*/ 1601913 w 1830513"/>
            <a:gd name="connsiteY30" fmla="*/ 5041900 h 8562896"/>
            <a:gd name="connsiteX31" fmla="*/ 1627313 w 1830513"/>
            <a:gd name="connsiteY31" fmla="*/ 5118100 h 8562896"/>
            <a:gd name="connsiteX32" fmla="*/ 1589213 w 1830513"/>
            <a:gd name="connsiteY32" fmla="*/ 5194300 h 8562896"/>
            <a:gd name="connsiteX33" fmla="*/ 1513013 w 1830513"/>
            <a:gd name="connsiteY33" fmla="*/ 5283200 h 8562896"/>
            <a:gd name="connsiteX34" fmla="*/ 1487613 w 1830513"/>
            <a:gd name="connsiteY34" fmla="*/ 5384800 h 8562896"/>
            <a:gd name="connsiteX35" fmla="*/ 1487613 w 1830513"/>
            <a:gd name="connsiteY35" fmla="*/ 5473700 h 8562896"/>
            <a:gd name="connsiteX36" fmla="*/ 1500313 w 1830513"/>
            <a:gd name="connsiteY36" fmla="*/ 5638800 h 8562896"/>
            <a:gd name="connsiteX37" fmla="*/ 1345217 w 1830513"/>
            <a:gd name="connsiteY37" fmla="*/ 5792537 h 8562896"/>
            <a:gd name="connsiteX38" fmla="*/ 968967 w 1830513"/>
            <a:gd name="connsiteY38" fmla="*/ 5837856 h 8562896"/>
            <a:gd name="connsiteX39" fmla="*/ 788653 w 1830513"/>
            <a:gd name="connsiteY39" fmla="*/ 5877575 h 8562896"/>
            <a:gd name="connsiteX40" fmla="*/ 655454 w 1830513"/>
            <a:gd name="connsiteY40" fmla="*/ 6036937 h 8562896"/>
            <a:gd name="connsiteX41" fmla="*/ 631533 w 1830513"/>
            <a:gd name="connsiteY41" fmla="*/ 6239577 h 8562896"/>
            <a:gd name="connsiteX42" fmla="*/ 585913 w 1830513"/>
            <a:gd name="connsiteY42" fmla="*/ 6591300 h 8562896"/>
            <a:gd name="connsiteX43" fmla="*/ 334395 w 1830513"/>
            <a:gd name="connsiteY43" fmla="*/ 8562896 h 8562896"/>
            <a:gd name="connsiteX44" fmla="*/ 1713 w 1830513"/>
            <a:gd name="connsiteY44" fmla="*/ 7823200 h 8562896"/>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668995 w 1844054"/>
            <a:gd name="connsiteY40" fmla="*/ 60369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470689 w 1844054"/>
            <a:gd name="connsiteY40" fmla="*/ 59685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531706 w 1844054"/>
            <a:gd name="connsiteY40" fmla="*/ 59514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Lst>
          <a:rect l="l" t="t" r="r" b="b"/>
          <a:pathLst>
            <a:path w="1844054" h="8575595">
              <a:moveTo>
                <a:pt x="0" y="8575595"/>
              </a:moveTo>
              <a:cubicBezTo>
                <a:pt x="4233" y="5967862"/>
                <a:pt x="10469" y="2607733"/>
                <a:pt x="14702" y="0"/>
              </a:cubicBezTo>
              <a:lnTo>
                <a:pt x="243854" y="0"/>
              </a:lnTo>
              <a:cubicBezTo>
                <a:pt x="324379" y="4233"/>
                <a:pt x="421654" y="6350"/>
                <a:pt x="497854" y="25400"/>
              </a:cubicBezTo>
              <a:cubicBezTo>
                <a:pt x="574054" y="44450"/>
                <a:pt x="635345" y="79933"/>
                <a:pt x="701054" y="114300"/>
              </a:cubicBezTo>
              <a:cubicBezTo>
                <a:pt x="766763" y="148667"/>
                <a:pt x="832839" y="185035"/>
                <a:pt x="892106" y="231602"/>
              </a:cubicBezTo>
              <a:cubicBezTo>
                <a:pt x="951373" y="278169"/>
                <a:pt x="1001713" y="320117"/>
                <a:pt x="1056654" y="393700"/>
              </a:cubicBezTo>
              <a:cubicBezTo>
                <a:pt x="1111595" y="467283"/>
                <a:pt x="1179421" y="590550"/>
                <a:pt x="1221754" y="673100"/>
              </a:cubicBezTo>
              <a:lnTo>
                <a:pt x="1310654" y="889000"/>
              </a:lnTo>
              <a:cubicBezTo>
                <a:pt x="1340287" y="960967"/>
                <a:pt x="1437654" y="1303867"/>
                <a:pt x="1475754" y="1473200"/>
              </a:cubicBezTo>
              <a:lnTo>
                <a:pt x="1539254" y="1905000"/>
              </a:lnTo>
              <a:lnTo>
                <a:pt x="1577354" y="2273300"/>
              </a:lnTo>
              <a:lnTo>
                <a:pt x="1602754" y="2654300"/>
              </a:lnTo>
              <a:lnTo>
                <a:pt x="1564654" y="2768600"/>
              </a:lnTo>
              <a:lnTo>
                <a:pt x="1513854" y="2882900"/>
              </a:lnTo>
              <a:lnTo>
                <a:pt x="1479620" y="2990811"/>
              </a:lnTo>
              <a:lnTo>
                <a:pt x="1526554" y="3175000"/>
              </a:lnTo>
              <a:lnTo>
                <a:pt x="1793254" y="3886200"/>
              </a:lnTo>
              <a:lnTo>
                <a:pt x="1831354" y="4000500"/>
              </a:lnTo>
              <a:lnTo>
                <a:pt x="1844054" y="4102100"/>
              </a:lnTo>
              <a:lnTo>
                <a:pt x="1837429" y="4180455"/>
              </a:lnTo>
              <a:lnTo>
                <a:pt x="1780554" y="4241800"/>
              </a:lnTo>
              <a:lnTo>
                <a:pt x="1666254" y="4356100"/>
              </a:lnTo>
              <a:lnTo>
                <a:pt x="1615454" y="4521200"/>
              </a:lnTo>
              <a:lnTo>
                <a:pt x="1628154" y="4724400"/>
              </a:lnTo>
              <a:cubicBezTo>
                <a:pt x="1630271" y="4783667"/>
                <a:pt x="1632387" y="4849283"/>
                <a:pt x="1628154" y="4876800"/>
              </a:cubicBezTo>
              <a:cubicBezTo>
                <a:pt x="1623921" y="4904317"/>
                <a:pt x="1617571" y="4883150"/>
                <a:pt x="1602754" y="4889500"/>
              </a:cubicBezTo>
              <a:lnTo>
                <a:pt x="1539254" y="4914900"/>
              </a:lnTo>
              <a:lnTo>
                <a:pt x="1450354" y="4927600"/>
              </a:lnTo>
              <a:lnTo>
                <a:pt x="1551954" y="4965700"/>
              </a:lnTo>
              <a:lnTo>
                <a:pt x="1615454" y="5041900"/>
              </a:lnTo>
              <a:lnTo>
                <a:pt x="1640854" y="5118100"/>
              </a:lnTo>
              <a:lnTo>
                <a:pt x="1602754" y="5194300"/>
              </a:lnTo>
              <a:lnTo>
                <a:pt x="1526554" y="5283200"/>
              </a:lnTo>
              <a:lnTo>
                <a:pt x="1501154" y="5384800"/>
              </a:lnTo>
              <a:lnTo>
                <a:pt x="1501154" y="5473700"/>
              </a:lnTo>
              <a:lnTo>
                <a:pt x="1513854" y="5638800"/>
              </a:lnTo>
              <a:cubicBezTo>
                <a:pt x="1490121" y="5691939"/>
                <a:pt x="1447316" y="5759361"/>
                <a:pt x="1358758" y="5792537"/>
              </a:cubicBezTo>
              <a:lnTo>
                <a:pt x="982508" y="5837856"/>
              </a:lnTo>
              <a:cubicBezTo>
                <a:pt x="922403" y="5851096"/>
                <a:pt x="877328" y="5858645"/>
                <a:pt x="802194" y="5877575"/>
              </a:cubicBezTo>
              <a:cubicBezTo>
                <a:pt x="727060" y="5896505"/>
                <a:pt x="567618" y="5904402"/>
                <a:pt x="531706" y="5951437"/>
              </a:cubicBezTo>
              <a:lnTo>
                <a:pt x="309480" y="6265227"/>
              </a:lnTo>
              <a:lnTo>
                <a:pt x="233350" y="6693900"/>
              </a:lnTo>
              <a:lnTo>
                <a:pt x="164884" y="8571446"/>
              </a:lnTo>
              <a:lnTo>
                <a:pt x="0" y="8575595"/>
              </a:lnTo>
              <a:close/>
            </a:path>
          </a:pathLst>
        </a:custGeom>
        <a:solidFill>
          <a:schemeClr val="accent5">
            <a:lumMod val="20000"/>
            <a:lumOff val="80000"/>
          </a:schemeClr>
        </a:solidFill>
        <a:ln>
          <a:noFill/>
        </a:ln>
        <a:effectLst>
          <a:outerShdw blurRad="50800" dist="38100" algn="l" rotWithShape="0">
            <a:srgbClr val="0070C0">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460</xdr:row>
      <xdr:rowOff>38100</xdr:rowOff>
    </xdr:from>
    <xdr:to>
      <xdr:col>13</xdr:col>
      <xdr:colOff>99060</xdr:colOff>
      <xdr:row>505</xdr:row>
      <xdr:rowOff>210820</xdr:rowOff>
    </xdr:to>
    <xdr:grpSp>
      <xdr:nvGrpSpPr>
        <xdr:cNvPr id="1140" name="Group 1139">
          <a:extLst>
            <a:ext uri="{FF2B5EF4-FFF2-40B4-BE49-F238E27FC236}">
              <a16:creationId xmlns:a16="http://schemas.microsoft.com/office/drawing/2014/main" id="{00000000-0008-0000-0200-000074040000}"/>
            </a:ext>
          </a:extLst>
        </xdr:cNvPr>
        <xdr:cNvGrpSpPr/>
      </xdr:nvGrpSpPr>
      <xdr:grpSpPr>
        <a:xfrm>
          <a:off x="0" y="93604080"/>
          <a:ext cx="6248400" cy="8059420"/>
          <a:chOff x="15455900" y="60706000"/>
          <a:chExt cx="6375400" cy="7823200"/>
        </a:xfrm>
      </xdr:grpSpPr>
      <xdr:sp macro="" textlink="">
        <xdr:nvSpPr>
          <xdr:cNvPr id="1141" name="Rectangle 1140">
            <a:extLst>
              <a:ext uri="{FF2B5EF4-FFF2-40B4-BE49-F238E27FC236}">
                <a16:creationId xmlns:a16="http://schemas.microsoft.com/office/drawing/2014/main" id="{00000000-0008-0000-0200-000075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2" name="Rectangle 1141">
            <a:extLst>
              <a:ext uri="{FF2B5EF4-FFF2-40B4-BE49-F238E27FC236}">
                <a16:creationId xmlns:a16="http://schemas.microsoft.com/office/drawing/2014/main" id="{00000000-0008-0000-0200-000076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143" name="Group 1142">
            <a:extLst>
              <a:ext uri="{FF2B5EF4-FFF2-40B4-BE49-F238E27FC236}">
                <a16:creationId xmlns:a16="http://schemas.microsoft.com/office/drawing/2014/main" id="{00000000-0008-0000-0200-000077040000}"/>
              </a:ext>
            </a:extLst>
          </xdr:cNvPr>
          <xdr:cNvGrpSpPr/>
        </xdr:nvGrpSpPr>
        <xdr:grpSpPr>
          <a:xfrm>
            <a:off x="16306800" y="60706000"/>
            <a:ext cx="2296879" cy="7823200"/>
            <a:chOff x="3796580" y="60718700"/>
            <a:chExt cx="2296879" cy="7823200"/>
          </a:xfrm>
        </xdr:grpSpPr>
        <xdr:sp macro="" textlink="">
          <xdr:nvSpPr>
            <xdr:cNvPr id="1150" name="Freeform: Shape 1149">
              <a:extLst>
                <a:ext uri="{FF2B5EF4-FFF2-40B4-BE49-F238E27FC236}">
                  <a16:creationId xmlns:a16="http://schemas.microsoft.com/office/drawing/2014/main" id="{00000000-0008-0000-0200-00007E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1" name="Freeform: Shape 1150">
              <a:extLst>
                <a:ext uri="{FF2B5EF4-FFF2-40B4-BE49-F238E27FC236}">
                  <a16:creationId xmlns:a16="http://schemas.microsoft.com/office/drawing/2014/main" id="{00000000-0008-0000-0200-00007F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2" name="Freeform: Shape 1151">
              <a:extLst>
                <a:ext uri="{FF2B5EF4-FFF2-40B4-BE49-F238E27FC236}">
                  <a16:creationId xmlns:a16="http://schemas.microsoft.com/office/drawing/2014/main" id="{00000000-0008-0000-0200-000080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3" name="Freeform: Shape 1152">
              <a:extLst>
                <a:ext uri="{FF2B5EF4-FFF2-40B4-BE49-F238E27FC236}">
                  <a16:creationId xmlns:a16="http://schemas.microsoft.com/office/drawing/2014/main" id="{00000000-0008-0000-0200-000081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4" name="Freeform: Shape 1153">
              <a:extLst>
                <a:ext uri="{FF2B5EF4-FFF2-40B4-BE49-F238E27FC236}">
                  <a16:creationId xmlns:a16="http://schemas.microsoft.com/office/drawing/2014/main" id="{00000000-0008-0000-0200-000082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144" name="Group 1143">
            <a:extLst>
              <a:ext uri="{FF2B5EF4-FFF2-40B4-BE49-F238E27FC236}">
                <a16:creationId xmlns:a16="http://schemas.microsoft.com/office/drawing/2014/main" id="{00000000-0008-0000-0200-000078040000}"/>
              </a:ext>
            </a:extLst>
          </xdr:cNvPr>
          <xdr:cNvGrpSpPr/>
        </xdr:nvGrpSpPr>
        <xdr:grpSpPr>
          <a:xfrm>
            <a:off x="18742660" y="60706000"/>
            <a:ext cx="2256239" cy="7823200"/>
            <a:chOff x="7845340" y="60718700"/>
            <a:chExt cx="2256239" cy="7823200"/>
          </a:xfrm>
        </xdr:grpSpPr>
        <xdr:sp macro="" textlink="">
          <xdr:nvSpPr>
            <xdr:cNvPr id="1145" name="Freeform: Shape 1144">
              <a:extLst>
                <a:ext uri="{FF2B5EF4-FFF2-40B4-BE49-F238E27FC236}">
                  <a16:creationId xmlns:a16="http://schemas.microsoft.com/office/drawing/2014/main" id="{00000000-0008-0000-0200-000079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6" name="Freeform: Shape 1145">
              <a:extLst>
                <a:ext uri="{FF2B5EF4-FFF2-40B4-BE49-F238E27FC236}">
                  <a16:creationId xmlns:a16="http://schemas.microsoft.com/office/drawing/2014/main" id="{00000000-0008-0000-0200-00007A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7" name="Freeform: Shape 1146">
              <a:extLst>
                <a:ext uri="{FF2B5EF4-FFF2-40B4-BE49-F238E27FC236}">
                  <a16:creationId xmlns:a16="http://schemas.microsoft.com/office/drawing/2014/main" id="{00000000-0008-0000-0200-00007B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8" name="Freeform: Shape 1147">
              <a:extLst>
                <a:ext uri="{FF2B5EF4-FFF2-40B4-BE49-F238E27FC236}">
                  <a16:creationId xmlns:a16="http://schemas.microsoft.com/office/drawing/2014/main" id="{00000000-0008-0000-0200-00007C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9" name="Freeform: Shape 1148">
              <a:extLst>
                <a:ext uri="{FF2B5EF4-FFF2-40B4-BE49-F238E27FC236}">
                  <a16:creationId xmlns:a16="http://schemas.microsoft.com/office/drawing/2014/main" id="{00000000-0008-0000-0200-00007D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7471</xdr:colOff>
      <xdr:row>413</xdr:row>
      <xdr:rowOff>0</xdr:rowOff>
    </xdr:from>
    <xdr:to>
      <xdr:col>13</xdr:col>
      <xdr:colOff>106531</xdr:colOff>
      <xdr:row>458</xdr:row>
      <xdr:rowOff>150876</xdr:rowOff>
    </xdr:to>
    <xdr:grpSp>
      <xdr:nvGrpSpPr>
        <xdr:cNvPr id="1110" name="Group 1109">
          <a:extLst>
            <a:ext uri="{FF2B5EF4-FFF2-40B4-BE49-F238E27FC236}">
              <a16:creationId xmlns:a16="http://schemas.microsoft.com/office/drawing/2014/main" id="{00000000-0008-0000-0200-000056040000}"/>
            </a:ext>
          </a:extLst>
        </xdr:cNvPr>
        <xdr:cNvGrpSpPr/>
      </xdr:nvGrpSpPr>
      <xdr:grpSpPr>
        <a:xfrm>
          <a:off x="7471" y="85123020"/>
          <a:ext cx="6248400" cy="8037576"/>
          <a:chOff x="15455900" y="60706000"/>
          <a:chExt cx="6375400" cy="7823200"/>
        </a:xfrm>
      </xdr:grpSpPr>
      <xdr:sp macro="" textlink="">
        <xdr:nvSpPr>
          <xdr:cNvPr id="1111" name="Rectangle 1110">
            <a:extLst>
              <a:ext uri="{FF2B5EF4-FFF2-40B4-BE49-F238E27FC236}">
                <a16:creationId xmlns:a16="http://schemas.microsoft.com/office/drawing/2014/main" id="{00000000-0008-0000-0200-000057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2" name="Rectangle 1111">
            <a:extLst>
              <a:ext uri="{FF2B5EF4-FFF2-40B4-BE49-F238E27FC236}">
                <a16:creationId xmlns:a16="http://schemas.microsoft.com/office/drawing/2014/main" id="{00000000-0008-0000-0200-000058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113" name="Group 1112">
            <a:extLst>
              <a:ext uri="{FF2B5EF4-FFF2-40B4-BE49-F238E27FC236}">
                <a16:creationId xmlns:a16="http://schemas.microsoft.com/office/drawing/2014/main" id="{00000000-0008-0000-0200-000059040000}"/>
              </a:ext>
            </a:extLst>
          </xdr:cNvPr>
          <xdr:cNvGrpSpPr/>
        </xdr:nvGrpSpPr>
        <xdr:grpSpPr>
          <a:xfrm>
            <a:off x="16306800" y="60706000"/>
            <a:ext cx="2296879" cy="7823200"/>
            <a:chOff x="3796580" y="60718700"/>
            <a:chExt cx="2296879" cy="7823200"/>
          </a:xfrm>
        </xdr:grpSpPr>
        <xdr:sp macro="" textlink="">
          <xdr:nvSpPr>
            <xdr:cNvPr id="1120" name="Freeform: Shape 1119">
              <a:extLst>
                <a:ext uri="{FF2B5EF4-FFF2-40B4-BE49-F238E27FC236}">
                  <a16:creationId xmlns:a16="http://schemas.microsoft.com/office/drawing/2014/main" id="{00000000-0008-0000-0200-000060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1" name="Freeform: Shape 1120">
              <a:extLst>
                <a:ext uri="{FF2B5EF4-FFF2-40B4-BE49-F238E27FC236}">
                  <a16:creationId xmlns:a16="http://schemas.microsoft.com/office/drawing/2014/main" id="{00000000-0008-0000-0200-000061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2" name="Freeform: Shape 1121">
              <a:extLst>
                <a:ext uri="{FF2B5EF4-FFF2-40B4-BE49-F238E27FC236}">
                  <a16:creationId xmlns:a16="http://schemas.microsoft.com/office/drawing/2014/main" id="{00000000-0008-0000-0200-000062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3" name="Freeform: Shape 1122">
              <a:extLst>
                <a:ext uri="{FF2B5EF4-FFF2-40B4-BE49-F238E27FC236}">
                  <a16:creationId xmlns:a16="http://schemas.microsoft.com/office/drawing/2014/main" id="{00000000-0008-0000-0200-000063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4" name="Freeform: Shape 1123">
              <a:extLst>
                <a:ext uri="{FF2B5EF4-FFF2-40B4-BE49-F238E27FC236}">
                  <a16:creationId xmlns:a16="http://schemas.microsoft.com/office/drawing/2014/main" id="{00000000-0008-0000-0200-000064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114" name="Group 1113">
            <a:extLst>
              <a:ext uri="{FF2B5EF4-FFF2-40B4-BE49-F238E27FC236}">
                <a16:creationId xmlns:a16="http://schemas.microsoft.com/office/drawing/2014/main" id="{00000000-0008-0000-0200-00005A040000}"/>
              </a:ext>
            </a:extLst>
          </xdr:cNvPr>
          <xdr:cNvGrpSpPr/>
        </xdr:nvGrpSpPr>
        <xdr:grpSpPr>
          <a:xfrm>
            <a:off x="18742660" y="60706000"/>
            <a:ext cx="2256239" cy="7823200"/>
            <a:chOff x="7845340" y="60718700"/>
            <a:chExt cx="2256239" cy="7823200"/>
          </a:xfrm>
        </xdr:grpSpPr>
        <xdr:sp macro="" textlink="">
          <xdr:nvSpPr>
            <xdr:cNvPr id="1115" name="Freeform: Shape 1114">
              <a:extLst>
                <a:ext uri="{FF2B5EF4-FFF2-40B4-BE49-F238E27FC236}">
                  <a16:creationId xmlns:a16="http://schemas.microsoft.com/office/drawing/2014/main" id="{00000000-0008-0000-0200-00005B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6" name="Freeform: Shape 1115">
              <a:extLst>
                <a:ext uri="{FF2B5EF4-FFF2-40B4-BE49-F238E27FC236}">
                  <a16:creationId xmlns:a16="http://schemas.microsoft.com/office/drawing/2014/main" id="{00000000-0008-0000-0200-00005C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7" name="Freeform: Shape 1116">
              <a:extLst>
                <a:ext uri="{FF2B5EF4-FFF2-40B4-BE49-F238E27FC236}">
                  <a16:creationId xmlns:a16="http://schemas.microsoft.com/office/drawing/2014/main" id="{00000000-0008-0000-0200-00005D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8" name="Freeform: Shape 1117">
              <a:extLst>
                <a:ext uri="{FF2B5EF4-FFF2-40B4-BE49-F238E27FC236}">
                  <a16:creationId xmlns:a16="http://schemas.microsoft.com/office/drawing/2014/main" id="{00000000-0008-0000-0200-00005E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9" name="Freeform: Shape 1118">
              <a:extLst>
                <a:ext uri="{FF2B5EF4-FFF2-40B4-BE49-F238E27FC236}">
                  <a16:creationId xmlns:a16="http://schemas.microsoft.com/office/drawing/2014/main" id="{00000000-0008-0000-0200-00005F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15240</xdr:colOff>
      <xdr:row>366</xdr:row>
      <xdr:rowOff>30488</xdr:rowOff>
    </xdr:from>
    <xdr:to>
      <xdr:col>13</xdr:col>
      <xdr:colOff>114300</xdr:colOff>
      <xdr:row>411</xdr:row>
      <xdr:rowOff>142249</xdr:rowOff>
    </xdr:to>
    <xdr:grpSp>
      <xdr:nvGrpSpPr>
        <xdr:cNvPr id="1095" name="Group 1094">
          <a:extLst>
            <a:ext uri="{FF2B5EF4-FFF2-40B4-BE49-F238E27FC236}">
              <a16:creationId xmlns:a16="http://schemas.microsoft.com/office/drawing/2014/main" id="{00000000-0008-0000-0200-000047040000}"/>
            </a:ext>
          </a:extLst>
        </xdr:cNvPr>
        <xdr:cNvGrpSpPr/>
      </xdr:nvGrpSpPr>
      <xdr:grpSpPr>
        <a:xfrm>
          <a:off x="15240" y="76672448"/>
          <a:ext cx="6248400" cy="8036561"/>
          <a:chOff x="15455900" y="60706000"/>
          <a:chExt cx="6375400" cy="7823200"/>
        </a:xfrm>
      </xdr:grpSpPr>
      <xdr:sp macro="" textlink="">
        <xdr:nvSpPr>
          <xdr:cNvPr id="1096" name="Rectangle 1095">
            <a:extLst>
              <a:ext uri="{FF2B5EF4-FFF2-40B4-BE49-F238E27FC236}">
                <a16:creationId xmlns:a16="http://schemas.microsoft.com/office/drawing/2014/main" id="{00000000-0008-0000-0200-000048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7" name="Rectangle 1096">
            <a:extLst>
              <a:ext uri="{FF2B5EF4-FFF2-40B4-BE49-F238E27FC236}">
                <a16:creationId xmlns:a16="http://schemas.microsoft.com/office/drawing/2014/main" id="{00000000-0008-0000-0200-000049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098" name="Group 1097">
            <a:extLst>
              <a:ext uri="{FF2B5EF4-FFF2-40B4-BE49-F238E27FC236}">
                <a16:creationId xmlns:a16="http://schemas.microsoft.com/office/drawing/2014/main" id="{00000000-0008-0000-0200-00004A040000}"/>
              </a:ext>
            </a:extLst>
          </xdr:cNvPr>
          <xdr:cNvGrpSpPr/>
        </xdr:nvGrpSpPr>
        <xdr:grpSpPr>
          <a:xfrm>
            <a:off x="16306800" y="60706000"/>
            <a:ext cx="2296879" cy="7823200"/>
            <a:chOff x="3796580" y="60718700"/>
            <a:chExt cx="2296879" cy="7823200"/>
          </a:xfrm>
        </xdr:grpSpPr>
        <xdr:sp macro="" textlink="">
          <xdr:nvSpPr>
            <xdr:cNvPr id="1105" name="Freeform: Shape 1104">
              <a:extLst>
                <a:ext uri="{FF2B5EF4-FFF2-40B4-BE49-F238E27FC236}">
                  <a16:creationId xmlns:a16="http://schemas.microsoft.com/office/drawing/2014/main" id="{00000000-0008-0000-0200-000051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6" name="Freeform: Shape 1105">
              <a:extLst>
                <a:ext uri="{FF2B5EF4-FFF2-40B4-BE49-F238E27FC236}">
                  <a16:creationId xmlns:a16="http://schemas.microsoft.com/office/drawing/2014/main" id="{00000000-0008-0000-0200-000052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7" name="Freeform: Shape 1106">
              <a:extLst>
                <a:ext uri="{FF2B5EF4-FFF2-40B4-BE49-F238E27FC236}">
                  <a16:creationId xmlns:a16="http://schemas.microsoft.com/office/drawing/2014/main" id="{00000000-0008-0000-0200-000053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8" name="Freeform: Shape 1107">
              <a:extLst>
                <a:ext uri="{FF2B5EF4-FFF2-40B4-BE49-F238E27FC236}">
                  <a16:creationId xmlns:a16="http://schemas.microsoft.com/office/drawing/2014/main" id="{00000000-0008-0000-0200-000054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9" name="Freeform: Shape 1108">
              <a:extLst>
                <a:ext uri="{FF2B5EF4-FFF2-40B4-BE49-F238E27FC236}">
                  <a16:creationId xmlns:a16="http://schemas.microsoft.com/office/drawing/2014/main" id="{00000000-0008-0000-0200-000055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099" name="Group 1098">
            <a:extLst>
              <a:ext uri="{FF2B5EF4-FFF2-40B4-BE49-F238E27FC236}">
                <a16:creationId xmlns:a16="http://schemas.microsoft.com/office/drawing/2014/main" id="{00000000-0008-0000-0200-00004B040000}"/>
              </a:ext>
            </a:extLst>
          </xdr:cNvPr>
          <xdr:cNvGrpSpPr/>
        </xdr:nvGrpSpPr>
        <xdr:grpSpPr>
          <a:xfrm>
            <a:off x="18742660" y="60706000"/>
            <a:ext cx="2256239" cy="7823200"/>
            <a:chOff x="7845340" y="60718700"/>
            <a:chExt cx="2256239" cy="7823200"/>
          </a:xfrm>
        </xdr:grpSpPr>
        <xdr:sp macro="" textlink="">
          <xdr:nvSpPr>
            <xdr:cNvPr id="1100" name="Freeform: Shape 1099">
              <a:extLst>
                <a:ext uri="{FF2B5EF4-FFF2-40B4-BE49-F238E27FC236}">
                  <a16:creationId xmlns:a16="http://schemas.microsoft.com/office/drawing/2014/main" id="{00000000-0008-0000-0200-00004C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1" name="Freeform: Shape 1100">
              <a:extLst>
                <a:ext uri="{FF2B5EF4-FFF2-40B4-BE49-F238E27FC236}">
                  <a16:creationId xmlns:a16="http://schemas.microsoft.com/office/drawing/2014/main" id="{00000000-0008-0000-0200-00004D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2" name="Freeform: Shape 1101">
              <a:extLst>
                <a:ext uri="{FF2B5EF4-FFF2-40B4-BE49-F238E27FC236}">
                  <a16:creationId xmlns:a16="http://schemas.microsoft.com/office/drawing/2014/main" id="{00000000-0008-0000-0200-00004E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3" name="Freeform: Shape 1102">
              <a:extLst>
                <a:ext uri="{FF2B5EF4-FFF2-40B4-BE49-F238E27FC236}">
                  <a16:creationId xmlns:a16="http://schemas.microsoft.com/office/drawing/2014/main" id="{00000000-0008-0000-0200-00004F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4" name="Freeform: Shape 1103">
              <a:extLst>
                <a:ext uri="{FF2B5EF4-FFF2-40B4-BE49-F238E27FC236}">
                  <a16:creationId xmlns:a16="http://schemas.microsoft.com/office/drawing/2014/main" id="{00000000-0008-0000-0200-000050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15240</xdr:colOff>
      <xdr:row>319</xdr:row>
      <xdr:rowOff>15240</xdr:rowOff>
    </xdr:from>
    <xdr:to>
      <xdr:col>13</xdr:col>
      <xdr:colOff>114300</xdr:colOff>
      <xdr:row>365</xdr:row>
      <xdr:rowOff>12700</xdr:rowOff>
    </xdr:to>
    <xdr:grpSp>
      <xdr:nvGrpSpPr>
        <xdr:cNvPr id="1080" name="Group 1079">
          <a:extLst>
            <a:ext uri="{FF2B5EF4-FFF2-40B4-BE49-F238E27FC236}">
              <a16:creationId xmlns:a16="http://schemas.microsoft.com/office/drawing/2014/main" id="{00000000-0008-0000-0200-000038040000}"/>
            </a:ext>
          </a:extLst>
        </xdr:cNvPr>
        <xdr:cNvGrpSpPr/>
      </xdr:nvGrpSpPr>
      <xdr:grpSpPr>
        <a:xfrm>
          <a:off x="15240" y="68214240"/>
          <a:ext cx="6248400" cy="8059420"/>
          <a:chOff x="15455900" y="60706000"/>
          <a:chExt cx="6375400" cy="7823200"/>
        </a:xfrm>
      </xdr:grpSpPr>
      <xdr:sp macro="" textlink="">
        <xdr:nvSpPr>
          <xdr:cNvPr id="1081" name="Rectangle 1080">
            <a:extLst>
              <a:ext uri="{FF2B5EF4-FFF2-40B4-BE49-F238E27FC236}">
                <a16:creationId xmlns:a16="http://schemas.microsoft.com/office/drawing/2014/main" id="{00000000-0008-0000-0200-000039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2" name="Rectangle 1081">
            <a:extLst>
              <a:ext uri="{FF2B5EF4-FFF2-40B4-BE49-F238E27FC236}">
                <a16:creationId xmlns:a16="http://schemas.microsoft.com/office/drawing/2014/main" id="{00000000-0008-0000-0200-00003A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083" name="Group 1082">
            <a:extLst>
              <a:ext uri="{FF2B5EF4-FFF2-40B4-BE49-F238E27FC236}">
                <a16:creationId xmlns:a16="http://schemas.microsoft.com/office/drawing/2014/main" id="{00000000-0008-0000-0200-00003B040000}"/>
              </a:ext>
            </a:extLst>
          </xdr:cNvPr>
          <xdr:cNvGrpSpPr/>
        </xdr:nvGrpSpPr>
        <xdr:grpSpPr>
          <a:xfrm>
            <a:off x="16306800" y="60706000"/>
            <a:ext cx="2296879" cy="7823200"/>
            <a:chOff x="3796580" y="60718700"/>
            <a:chExt cx="2296879" cy="7823200"/>
          </a:xfrm>
        </xdr:grpSpPr>
        <xdr:sp macro="" textlink="">
          <xdr:nvSpPr>
            <xdr:cNvPr id="1090" name="Freeform: Shape 1089">
              <a:extLst>
                <a:ext uri="{FF2B5EF4-FFF2-40B4-BE49-F238E27FC236}">
                  <a16:creationId xmlns:a16="http://schemas.microsoft.com/office/drawing/2014/main" id="{00000000-0008-0000-0200-000042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1" name="Freeform: Shape 1090">
              <a:extLst>
                <a:ext uri="{FF2B5EF4-FFF2-40B4-BE49-F238E27FC236}">
                  <a16:creationId xmlns:a16="http://schemas.microsoft.com/office/drawing/2014/main" id="{00000000-0008-0000-0200-000043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2" name="Freeform: Shape 1091">
              <a:extLst>
                <a:ext uri="{FF2B5EF4-FFF2-40B4-BE49-F238E27FC236}">
                  <a16:creationId xmlns:a16="http://schemas.microsoft.com/office/drawing/2014/main" id="{00000000-0008-0000-0200-000044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3" name="Freeform: Shape 1092">
              <a:extLst>
                <a:ext uri="{FF2B5EF4-FFF2-40B4-BE49-F238E27FC236}">
                  <a16:creationId xmlns:a16="http://schemas.microsoft.com/office/drawing/2014/main" id="{00000000-0008-0000-0200-000045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4" name="Freeform: Shape 1093">
              <a:extLst>
                <a:ext uri="{FF2B5EF4-FFF2-40B4-BE49-F238E27FC236}">
                  <a16:creationId xmlns:a16="http://schemas.microsoft.com/office/drawing/2014/main" id="{00000000-0008-0000-0200-000046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084" name="Group 1083">
            <a:extLst>
              <a:ext uri="{FF2B5EF4-FFF2-40B4-BE49-F238E27FC236}">
                <a16:creationId xmlns:a16="http://schemas.microsoft.com/office/drawing/2014/main" id="{00000000-0008-0000-0200-00003C040000}"/>
              </a:ext>
            </a:extLst>
          </xdr:cNvPr>
          <xdr:cNvGrpSpPr/>
        </xdr:nvGrpSpPr>
        <xdr:grpSpPr>
          <a:xfrm>
            <a:off x="18742660" y="60706000"/>
            <a:ext cx="2256239" cy="7823200"/>
            <a:chOff x="7845340" y="60718700"/>
            <a:chExt cx="2256239" cy="7823200"/>
          </a:xfrm>
        </xdr:grpSpPr>
        <xdr:sp macro="" textlink="">
          <xdr:nvSpPr>
            <xdr:cNvPr id="1085" name="Freeform: Shape 1084">
              <a:extLst>
                <a:ext uri="{FF2B5EF4-FFF2-40B4-BE49-F238E27FC236}">
                  <a16:creationId xmlns:a16="http://schemas.microsoft.com/office/drawing/2014/main" id="{00000000-0008-0000-0200-00003D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6" name="Freeform: Shape 1085">
              <a:extLst>
                <a:ext uri="{FF2B5EF4-FFF2-40B4-BE49-F238E27FC236}">
                  <a16:creationId xmlns:a16="http://schemas.microsoft.com/office/drawing/2014/main" id="{00000000-0008-0000-0200-00003E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7" name="Freeform: Shape 1086">
              <a:extLst>
                <a:ext uri="{FF2B5EF4-FFF2-40B4-BE49-F238E27FC236}">
                  <a16:creationId xmlns:a16="http://schemas.microsoft.com/office/drawing/2014/main" id="{00000000-0008-0000-0200-00003F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8" name="Freeform: Shape 1087">
              <a:extLst>
                <a:ext uri="{FF2B5EF4-FFF2-40B4-BE49-F238E27FC236}">
                  <a16:creationId xmlns:a16="http://schemas.microsoft.com/office/drawing/2014/main" id="{00000000-0008-0000-0200-000040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9" name="Freeform: Shape 1088">
              <a:extLst>
                <a:ext uri="{FF2B5EF4-FFF2-40B4-BE49-F238E27FC236}">
                  <a16:creationId xmlns:a16="http://schemas.microsoft.com/office/drawing/2014/main" id="{00000000-0008-0000-0200-000041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1</xdr:col>
      <xdr:colOff>419100</xdr:colOff>
      <xdr:row>325</xdr:row>
      <xdr:rowOff>53340</xdr:rowOff>
    </xdr:from>
    <xdr:to>
      <xdr:col>12</xdr:col>
      <xdr:colOff>106680</xdr:colOff>
      <xdr:row>330</xdr:row>
      <xdr:rowOff>60960</xdr:rowOff>
    </xdr:to>
    <xdr:sp macro="" textlink="">
      <xdr:nvSpPr>
        <xdr:cNvPr id="932" name="Oval 931">
          <a:extLst>
            <a:ext uri="{FF2B5EF4-FFF2-40B4-BE49-F238E27FC236}">
              <a16:creationId xmlns:a16="http://schemas.microsoft.com/office/drawing/2014/main" id="{00000000-0008-0000-0200-0000A4030000}"/>
            </a:ext>
          </a:extLst>
        </xdr:cNvPr>
        <xdr:cNvSpPr/>
      </xdr:nvSpPr>
      <xdr:spPr>
        <a:xfrm>
          <a:off x="541020" y="69220080"/>
          <a:ext cx="5135880" cy="883920"/>
        </a:xfrm>
        <a:prstGeom prst="ellipse">
          <a:avLst/>
        </a:prstGeom>
        <a:gradFill flip="none" rotWithShape="1">
          <a:gsLst>
            <a:gs pos="0">
              <a:schemeClr val="accent4">
                <a:lumMod val="60000"/>
                <a:lumOff val="40000"/>
              </a:schemeClr>
            </a:gs>
            <a:gs pos="50000">
              <a:srgbClr val="FFFF00"/>
            </a:gs>
            <a:gs pos="100000">
              <a:schemeClr val="accent4">
                <a:lumMod val="60000"/>
                <a:lumOff val="40000"/>
              </a:schemeClr>
            </a:gs>
          </a:gsLst>
          <a:path path="circle">
            <a:fillToRect l="100000" t="100000"/>
          </a:path>
          <a:tileRect r="-100000" b="-100000"/>
        </a:gradFill>
        <a:ln>
          <a:noFill/>
        </a:ln>
        <a:effectLst>
          <a:softEdge rad="63500"/>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clientData/>
  </xdr:twoCellAnchor>
  <xdr:twoCellAnchor>
    <xdr:from>
      <xdr:col>15</xdr:col>
      <xdr:colOff>1</xdr:colOff>
      <xdr:row>103</xdr:row>
      <xdr:rowOff>7620</xdr:rowOff>
    </xdr:from>
    <xdr:to>
      <xdr:col>27</xdr:col>
      <xdr:colOff>2</xdr:colOff>
      <xdr:row>108</xdr:row>
      <xdr:rowOff>7620</xdr:rowOff>
    </xdr:to>
    <xdr:grpSp>
      <xdr:nvGrpSpPr>
        <xdr:cNvPr id="4" name="Group 3" hidden="1">
          <a:extLst>
            <a:ext uri="{FF2B5EF4-FFF2-40B4-BE49-F238E27FC236}">
              <a16:creationId xmlns:a16="http://schemas.microsoft.com/office/drawing/2014/main" id="{00000000-0008-0000-0200-000004000000}"/>
            </a:ext>
          </a:extLst>
        </xdr:cNvPr>
        <xdr:cNvGrpSpPr/>
      </xdr:nvGrpSpPr>
      <xdr:grpSpPr>
        <a:xfrm>
          <a:off x="6377941" y="21435060"/>
          <a:ext cx="6035041" cy="1257300"/>
          <a:chOff x="7787640" y="586740"/>
          <a:chExt cx="2983245" cy="922020"/>
        </a:xfrm>
      </xdr:grpSpPr>
      <xdr:sp macro="" textlink="">
        <xdr:nvSpPr>
          <xdr:cNvPr id="5" name="Speech Bubble: Rectangle with Corners Rounded 4">
            <a:extLst>
              <a:ext uri="{FF2B5EF4-FFF2-40B4-BE49-F238E27FC236}">
                <a16:creationId xmlns:a16="http://schemas.microsoft.com/office/drawing/2014/main" id="{00000000-0008-0000-0200-000005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 name="Speech Bubble: Rectangle with Corners Rounded 5">
            <a:extLst>
              <a:ext uri="{FF2B5EF4-FFF2-40B4-BE49-F238E27FC236}">
                <a16:creationId xmlns:a16="http://schemas.microsoft.com/office/drawing/2014/main" id="{00000000-0008-0000-0200-000006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13</xdr:col>
      <xdr:colOff>18626</xdr:colOff>
      <xdr:row>973</xdr:row>
      <xdr:rowOff>131336</xdr:rowOff>
    </xdr:from>
    <xdr:to>
      <xdr:col>28</xdr:col>
      <xdr:colOff>67904</xdr:colOff>
      <xdr:row>987</xdr:row>
      <xdr:rowOff>58537</xdr:rowOff>
    </xdr:to>
    <xdr:pic>
      <xdr:nvPicPr>
        <xdr:cNvPr id="164" name="value frame PNP" hidden="1">
          <a:extLst>
            <a:ext uri="{FF2B5EF4-FFF2-40B4-BE49-F238E27FC236}">
              <a16:creationId xmlns:a16="http://schemas.microsoft.com/office/drawing/2014/main" id="{00000000-0008-0000-0200-0000A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84146" y="87433676"/>
          <a:ext cx="6358638" cy="3338123"/>
        </a:xfrm>
        <a:prstGeom prst="rect">
          <a:avLst/>
        </a:prstGeom>
      </xdr:spPr>
    </xdr:pic>
    <xdr:clientData/>
  </xdr:twoCellAnchor>
  <xdr:twoCellAnchor>
    <xdr:from>
      <xdr:col>26</xdr:col>
      <xdr:colOff>0</xdr:colOff>
      <xdr:row>91</xdr:row>
      <xdr:rowOff>380999</xdr:rowOff>
    </xdr:from>
    <xdr:to>
      <xdr:col>26</xdr:col>
      <xdr:colOff>186267</xdr:colOff>
      <xdr:row>91</xdr:row>
      <xdr:rowOff>567266</xdr:rowOff>
    </xdr:to>
    <xdr:grpSp>
      <xdr:nvGrpSpPr>
        <xdr:cNvPr id="195" name="dropdown button image" hidden="1">
          <a:extLst>
            <a:ext uri="{FF2B5EF4-FFF2-40B4-BE49-F238E27FC236}">
              <a16:creationId xmlns:a16="http://schemas.microsoft.com/office/drawing/2014/main" id="{00000000-0008-0000-0200-0000C3000000}"/>
            </a:ext>
          </a:extLst>
        </xdr:cNvPr>
        <xdr:cNvGrpSpPr/>
      </xdr:nvGrpSpPr>
      <xdr:grpSpPr>
        <a:xfrm>
          <a:off x="11910060" y="18204179"/>
          <a:ext cx="186267" cy="186267"/>
          <a:chOff x="11430000" y="1828800"/>
          <a:chExt cx="508000" cy="508000"/>
        </a:xfrm>
      </xdr:grpSpPr>
      <xdr:sp macro="" textlink="">
        <xdr:nvSpPr>
          <xdr:cNvPr id="193" name="Rectangle 192">
            <a:extLst>
              <a:ext uri="{FF2B5EF4-FFF2-40B4-BE49-F238E27FC236}">
                <a16:creationId xmlns:a16="http://schemas.microsoft.com/office/drawing/2014/main" id="{00000000-0008-0000-0200-0000C1000000}"/>
              </a:ext>
            </a:extLst>
          </xdr:cNvPr>
          <xdr:cNvSpPr/>
        </xdr:nvSpPr>
        <xdr:spPr>
          <a:xfrm>
            <a:off x="11430000" y="1828800"/>
            <a:ext cx="508000" cy="508000"/>
          </a:xfrm>
          <a:prstGeom prst="rect">
            <a:avLst/>
          </a:prstGeom>
          <a:solidFill>
            <a:schemeClr val="bg1">
              <a:lumMod val="95000"/>
            </a:schemeClr>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 name="Isosceles Triangle 193">
            <a:extLst>
              <a:ext uri="{FF2B5EF4-FFF2-40B4-BE49-F238E27FC236}">
                <a16:creationId xmlns:a16="http://schemas.microsoft.com/office/drawing/2014/main" id="{00000000-0008-0000-0200-0000C2000000}"/>
              </a:ext>
            </a:extLst>
          </xdr:cNvPr>
          <xdr:cNvSpPr>
            <a:spLocks noChangeAspect="1"/>
          </xdr:cNvSpPr>
        </xdr:nvSpPr>
        <xdr:spPr>
          <a:xfrm flipV="1">
            <a:off x="11590866" y="2031999"/>
            <a:ext cx="182880" cy="137160"/>
          </a:xfrm>
          <a:prstGeom prst="triangle">
            <a:avLst/>
          </a:prstGeom>
          <a:solidFill>
            <a:schemeClr val="bg1">
              <a:lumMod val="65000"/>
            </a:schemeClr>
          </a:solidFill>
          <a:ln>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91</xdr:row>
      <xdr:rowOff>525460</xdr:rowOff>
    </xdr:from>
    <xdr:to>
      <xdr:col>26</xdr:col>
      <xdr:colOff>24997</xdr:colOff>
      <xdr:row>93</xdr:row>
      <xdr:rowOff>16263</xdr:rowOff>
    </xdr:to>
    <xdr:sp macro="" textlink="">
      <xdr:nvSpPr>
        <xdr:cNvPr id="196" name="Arrow: Left 195" hidden="1">
          <a:extLst>
            <a:ext uri="{FF2B5EF4-FFF2-40B4-BE49-F238E27FC236}">
              <a16:creationId xmlns:a16="http://schemas.microsoft.com/office/drawing/2014/main" id="{00000000-0008-0000-0200-0000C4000000}"/>
            </a:ext>
          </a:extLst>
        </xdr:cNvPr>
        <xdr:cNvSpPr>
          <a:spLocks noChangeAspect="1"/>
        </xdr:cNvSpPr>
      </xdr:nvSpPr>
      <xdr:spPr>
        <a:xfrm rot="4020000">
          <a:off x="11697742" y="1351209"/>
          <a:ext cx="252803" cy="91440"/>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124</xdr:row>
      <xdr:rowOff>8467</xdr:rowOff>
    </xdr:from>
    <xdr:to>
      <xdr:col>27</xdr:col>
      <xdr:colOff>8311</xdr:colOff>
      <xdr:row>130</xdr:row>
      <xdr:rowOff>2503</xdr:rowOff>
    </xdr:to>
    <xdr:pic>
      <xdr:nvPicPr>
        <xdr:cNvPr id="198" name="Picture 197" hidden="1">
          <a:extLst>
            <a:ext uri="{FF2B5EF4-FFF2-40B4-BE49-F238E27FC236}">
              <a16:creationId xmlns:a16="http://schemas.microsoft.com/office/drawing/2014/main" id="{00000000-0008-0000-0200-0000C6000000}"/>
            </a:ext>
          </a:extLst>
        </xdr:cNvPr>
        <xdr:cNvPicPr>
          <a:picLocks noChangeAspect="1"/>
        </xdr:cNvPicPr>
      </xdr:nvPicPr>
      <xdr:blipFill>
        <a:blip xmlns:r="http://schemas.openxmlformats.org/officeDocument/2006/relationships" r:embed="rId2">
          <a:clrChange>
            <a:clrFrom>
              <a:srgbClr val="000000"/>
            </a:clrFrom>
            <a:clrTo>
              <a:srgbClr val="000000">
                <a:alpha val="0"/>
              </a:srgbClr>
            </a:clrTo>
          </a:clrChange>
        </a:blip>
        <a:stretch>
          <a:fillRect/>
        </a:stretch>
      </xdr:blipFill>
      <xdr:spPr>
        <a:xfrm>
          <a:off x="6341534" y="9516534"/>
          <a:ext cx="6011177" cy="1518036"/>
        </a:xfrm>
        <a:prstGeom prst="rect">
          <a:avLst/>
        </a:prstGeom>
      </xdr:spPr>
    </xdr:pic>
    <xdr:clientData/>
  </xdr:twoCellAnchor>
  <xdr:twoCellAnchor editAs="oneCell">
    <xdr:from>
      <xdr:col>16</xdr:col>
      <xdr:colOff>426720</xdr:colOff>
      <xdr:row>93</xdr:row>
      <xdr:rowOff>205740</xdr:rowOff>
    </xdr:from>
    <xdr:to>
      <xdr:col>18</xdr:col>
      <xdr:colOff>269292</xdr:colOff>
      <xdr:row>95</xdr:row>
      <xdr:rowOff>358140</xdr:rowOff>
    </xdr:to>
    <xdr:pic>
      <xdr:nvPicPr>
        <xdr:cNvPr id="258" name="thumbs down, light red" hidden="1">
          <a:extLst>
            <a:ext uri="{FF2B5EF4-FFF2-40B4-BE49-F238E27FC236}">
              <a16:creationId xmlns:a16="http://schemas.microsoft.com/office/drawing/2014/main" id="{00000000-0008-0000-0200-00000201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36080" y="1699260"/>
          <a:ext cx="833172" cy="914400"/>
        </a:xfrm>
        <a:prstGeom prst="rect">
          <a:avLst/>
        </a:prstGeom>
      </xdr:spPr>
    </xdr:pic>
    <xdr:clientData/>
  </xdr:twoCellAnchor>
  <xdr:twoCellAnchor editAs="oneCell">
    <xdr:from>
      <xdr:col>24</xdr:col>
      <xdr:colOff>231420</xdr:colOff>
      <xdr:row>93</xdr:row>
      <xdr:rowOff>33300</xdr:rowOff>
    </xdr:from>
    <xdr:to>
      <xdr:col>26</xdr:col>
      <xdr:colOff>73992</xdr:colOff>
      <xdr:row>95</xdr:row>
      <xdr:rowOff>185700</xdr:rowOff>
    </xdr:to>
    <xdr:pic>
      <xdr:nvPicPr>
        <xdr:cNvPr id="256" name="thumbs up, light green" hidden="1">
          <a:extLst>
            <a:ext uri="{FF2B5EF4-FFF2-40B4-BE49-F238E27FC236}">
              <a16:creationId xmlns:a16="http://schemas.microsoft.com/office/drawing/2014/main" id="{00000000-0008-0000-0200-00000001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10998480" y="1526820"/>
          <a:ext cx="833172" cy="914400"/>
        </a:xfrm>
        <a:prstGeom prst="rect">
          <a:avLst/>
        </a:prstGeom>
      </xdr:spPr>
    </xdr:pic>
    <xdr:clientData/>
  </xdr:twoCellAnchor>
  <xdr:twoCellAnchor>
    <xdr:from>
      <xdr:col>1</xdr:col>
      <xdr:colOff>30480</xdr:colOff>
      <xdr:row>699</xdr:row>
      <xdr:rowOff>7620</xdr:rowOff>
    </xdr:from>
    <xdr:to>
      <xdr:col>12</xdr:col>
      <xdr:colOff>457200</xdr:colOff>
      <xdr:row>708</xdr:row>
      <xdr:rowOff>59267</xdr:rowOff>
    </xdr:to>
    <xdr:grpSp>
      <xdr:nvGrpSpPr>
        <xdr:cNvPr id="53" name="Group 52">
          <a:extLst>
            <a:ext uri="{FF2B5EF4-FFF2-40B4-BE49-F238E27FC236}">
              <a16:creationId xmlns:a16="http://schemas.microsoft.com/office/drawing/2014/main" id="{00000000-0008-0000-0200-000035000000}"/>
            </a:ext>
          </a:extLst>
        </xdr:cNvPr>
        <xdr:cNvGrpSpPr/>
      </xdr:nvGrpSpPr>
      <xdr:grpSpPr>
        <a:xfrm>
          <a:off x="144780" y="136923780"/>
          <a:ext cx="5958840" cy="1628987"/>
          <a:chOff x="137160" y="128168400"/>
          <a:chExt cx="5875020" cy="1628987"/>
        </a:xfrm>
      </xdr:grpSpPr>
      <xdr:sp macro="" textlink="">
        <xdr:nvSpPr>
          <xdr:cNvPr id="1591" name="TextBox 1590">
            <a:extLst>
              <a:ext uri="{FF2B5EF4-FFF2-40B4-BE49-F238E27FC236}">
                <a16:creationId xmlns:a16="http://schemas.microsoft.com/office/drawing/2014/main" id="{00000000-0008-0000-0200-000037060000}"/>
              </a:ext>
            </a:extLst>
          </xdr:cNvPr>
          <xdr:cNvSpPr txBox="1"/>
        </xdr:nvSpPr>
        <xdr:spPr>
          <a:xfrm>
            <a:off x="137160" y="128168400"/>
            <a:ext cx="5875020" cy="1516380"/>
          </a:xfrm>
          <a:prstGeom prst="rect">
            <a:avLst/>
          </a:prstGeom>
          <a:gradFill flip="none" rotWithShape="1">
            <a:gsLst>
              <a:gs pos="75000">
                <a:srgbClr val="D7B9FF"/>
              </a:gs>
              <a:gs pos="0">
                <a:srgbClr val="FF99FF"/>
              </a:gs>
              <a:gs pos="50000">
                <a:srgbClr val="FFCCFF"/>
              </a:gs>
            </a:gsLst>
            <a:lin ang="10800000" scaled="1"/>
            <a:tileRect/>
          </a:gradFill>
          <a:ln w="9525" cmpd="sng">
            <a:noFill/>
          </a:ln>
          <a:effectLst>
            <a:outerShdw blurRad="50800" dist="38100" dir="5400000" algn="t"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0" tIns="91440" rIns="0" rtlCol="0" anchor="t"/>
          <a:lstStyle/>
          <a:p>
            <a:pPr algn="ctr"/>
            <a:r>
              <a:rPr lang="en-US" sz="1200" b="1" spc="-50" baseline="0">
                <a:solidFill>
                  <a:schemeClr val="dk1"/>
                </a:solidFill>
                <a:latin typeface="Tahoma" panose="020B0604030504040204" pitchFamily="34" charset="0"/>
                <a:ea typeface="Tahoma" panose="020B0604030504040204" pitchFamily="34" charset="0"/>
                <a:cs typeface="Tahoma" panose="020B0604030504040204" pitchFamily="34" charset="0"/>
              </a:rPr>
              <a:t>Elites share the same psychosocial bias, but at a higher level of need satisfaction</a:t>
            </a:r>
            <a:r>
              <a:rPr lang="en-US" sz="1200" b="0" spc="-50" baseline="0">
                <a:solidFill>
                  <a:schemeClr val="dk1"/>
                </a:solidFill>
                <a:latin typeface="Tahoma" panose="020B0604030504040204" pitchFamily="34" charset="0"/>
                <a:ea typeface="Tahoma" panose="020B0604030504040204" pitchFamily="34" charset="0"/>
                <a:cs typeface="Tahoma" panose="020B0604030504040204" pitchFamily="34" charset="0"/>
              </a:rPr>
              <a:t>.</a:t>
            </a:r>
          </a:p>
        </xdr:txBody>
      </xdr:sp>
      <xdr:grpSp>
        <xdr:nvGrpSpPr>
          <xdr:cNvPr id="277" name="Group 276">
            <a:extLst>
              <a:ext uri="{FF2B5EF4-FFF2-40B4-BE49-F238E27FC236}">
                <a16:creationId xmlns:a16="http://schemas.microsoft.com/office/drawing/2014/main" id="{00000000-0008-0000-0200-000015010000}"/>
              </a:ext>
            </a:extLst>
          </xdr:cNvPr>
          <xdr:cNvGrpSpPr/>
        </xdr:nvGrpSpPr>
        <xdr:grpSpPr>
          <a:xfrm>
            <a:off x="137160" y="128540087"/>
            <a:ext cx="2743200" cy="1257300"/>
            <a:chOff x="167640" y="48415787"/>
            <a:chExt cx="2743200" cy="1371600"/>
          </a:xfrm>
        </xdr:grpSpPr>
        <xdr:grpSp>
          <xdr:nvGrpSpPr>
            <xdr:cNvPr id="238" name="Group 237">
              <a:extLst>
                <a:ext uri="{FF2B5EF4-FFF2-40B4-BE49-F238E27FC236}">
                  <a16:creationId xmlns:a16="http://schemas.microsoft.com/office/drawing/2014/main" id="{00000000-0008-0000-0200-0000EE000000}"/>
                </a:ext>
              </a:extLst>
            </xdr:cNvPr>
            <xdr:cNvGrpSpPr>
              <a:grpSpLocks noChangeAspect="1"/>
            </xdr:cNvGrpSpPr>
          </xdr:nvGrpSpPr>
          <xdr:grpSpPr>
            <a:xfrm>
              <a:off x="167640" y="48415787"/>
              <a:ext cx="2743200" cy="1371600"/>
              <a:chOff x="0" y="0"/>
              <a:chExt cx="3200400" cy="1554480"/>
            </a:xfrm>
          </xdr:grpSpPr>
          <xdr:sp macro="" textlink="">
            <xdr:nvSpPr>
              <xdr:cNvPr id="239" name="Rectangle 238">
                <a:extLst>
                  <a:ext uri="{FF2B5EF4-FFF2-40B4-BE49-F238E27FC236}">
                    <a16:creationId xmlns:a16="http://schemas.microsoft.com/office/drawing/2014/main" id="{00000000-0008-0000-0200-0000EF000000}"/>
                  </a:ext>
                </a:extLst>
              </xdr:cNvPr>
              <xdr:cNvSpPr/>
            </xdr:nvSpPr>
            <xdr:spPr>
              <a:xfrm>
                <a:off x="0" y="0"/>
                <a:ext cx="3200400" cy="1554480"/>
              </a:xfrm>
              <a:prstGeom prst="rect">
                <a:avLst/>
              </a:prstGeom>
              <a:solidFill>
                <a:schemeClr val="accent5">
                  <a:lumMod val="60000"/>
                  <a:lumOff val="40000"/>
                </a:schemeClr>
              </a:solidFill>
              <a:ln w="28575">
                <a:solidFill>
                  <a:srgbClr val="0070C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240" name="Group 239">
                <a:extLst>
                  <a:ext uri="{FF2B5EF4-FFF2-40B4-BE49-F238E27FC236}">
                    <a16:creationId xmlns:a16="http://schemas.microsoft.com/office/drawing/2014/main" id="{00000000-0008-0000-0200-0000F0000000}"/>
                  </a:ext>
                </a:extLst>
              </xdr:cNvPr>
              <xdr:cNvGrpSpPr/>
            </xdr:nvGrpSpPr>
            <xdr:grpSpPr>
              <a:xfrm>
                <a:off x="213360" y="99060"/>
                <a:ext cx="2750820" cy="1371600"/>
                <a:chOff x="0" y="0"/>
                <a:chExt cx="2750820" cy="1371600"/>
              </a:xfrm>
            </xdr:grpSpPr>
            <xdr:sp macro="" textlink="">
              <xdr:nvSpPr>
                <xdr:cNvPr id="241" name="Rectangle 240">
                  <a:extLst>
                    <a:ext uri="{FF2B5EF4-FFF2-40B4-BE49-F238E27FC236}">
                      <a16:creationId xmlns:a16="http://schemas.microsoft.com/office/drawing/2014/main" id="{00000000-0008-0000-0200-0000F1000000}"/>
                    </a:ext>
                  </a:extLst>
                </xdr:cNvPr>
                <xdr:cNvSpPr/>
              </xdr:nvSpPr>
              <xdr:spPr>
                <a:xfrm>
                  <a:off x="0" y="0"/>
                  <a:ext cx="457200" cy="1371600"/>
                </a:xfrm>
                <a:prstGeom prst="rect">
                  <a:avLst/>
                </a:prstGeom>
                <a:gradFill>
                  <a:gsLst>
                    <a:gs pos="0">
                      <a:schemeClr val="accent4">
                        <a:lumMod val="20000"/>
                        <a:lumOff val="80000"/>
                      </a:schemeClr>
                    </a:gs>
                    <a:gs pos="69000">
                      <a:schemeClr val="accent4">
                        <a:lumMod val="20000"/>
                        <a:lumOff val="80000"/>
                      </a:schemeClr>
                    </a:gs>
                    <a:gs pos="7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42" name="Rectangle 241">
                  <a:extLst>
                    <a:ext uri="{FF2B5EF4-FFF2-40B4-BE49-F238E27FC236}">
                      <a16:creationId xmlns:a16="http://schemas.microsoft.com/office/drawing/2014/main" id="{00000000-0008-0000-0200-0000F2000000}"/>
                    </a:ext>
                  </a:extLst>
                </xdr:cNvPr>
                <xdr:cNvSpPr/>
              </xdr:nvSpPr>
              <xdr:spPr>
                <a:xfrm>
                  <a:off x="655320" y="0"/>
                  <a:ext cx="457200" cy="1371600"/>
                </a:xfrm>
                <a:prstGeom prst="rect">
                  <a:avLst/>
                </a:prstGeom>
                <a:gradFill>
                  <a:gsLst>
                    <a:gs pos="0">
                      <a:schemeClr val="accent4">
                        <a:lumMod val="20000"/>
                        <a:lumOff val="80000"/>
                      </a:schemeClr>
                    </a:gs>
                    <a:gs pos="79000">
                      <a:schemeClr val="accent4">
                        <a:lumMod val="20000"/>
                        <a:lumOff val="80000"/>
                      </a:schemeClr>
                    </a:gs>
                    <a:gs pos="80000">
                      <a:srgbClr val="F0CDFF"/>
                    </a:gs>
                    <a:gs pos="100000">
                      <a:srgbClr val="D7B9FF"/>
                    </a:gs>
                  </a:gsLst>
                  <a:lin ang="5400000" scaled="1"/>
                </a:gradFill>
                <a:ln>
                  <a:solidFill>
                    <a:srgbClr val="7030A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43" name="Straight Connector 242">
                  <a:extLst>
                    <a:ext uri="{FF2B5EF4-FFF2-40B4-BE49-F238E27FC236}">
                      <a16:creationId xmlns:a16="http://schemas.microsoft.com/office/drawing/2014/main" id="{00000000-0008-0000-0200-0000F3000000}"/>
                    </a:ext>
                  </a:extLst>
                </xdr:cNvPr>
                <xdr:cNvCxnSpPr/>
              </xdr:nvCxnSpPr>
              <xdr:spPr>
                <a:xfrm flipH="1" flipV="1">
                  <a:off x="457200" y="968563"/>
                  <a:ext cx="198120" cy="129740"/>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44" name="Rectangle 243">
                  <a:extLst>
                    <a:ext uri="{FF2B5EF4-FFF2-40B4-BE49-F238E27FC236}">
                      <a16:creationId xmlns:a16="http://schemas.microsoft.com/office/drawing/2014/main" id="{00000000-0008-0000-0200-0000F4000000}"/>
                    </a:ext>
                  </a:extLst>
                </xdr:cNvPr>
                <xdr:cNvSpPr/>
              </xdr:nvSpPr>
              <xdr:spPr>
                <a:xfrm>
                  <a:off x="1638300" y="0"/>
                  <a:ext cx="457200" cy="1371600"/>
                </a:xfrm>
                <a:prstGeom prst="rect">
                  <a:avLst/>
                </a:prstGeom>
                <a:gradFill>
                  <a:gsLst>
                    <a:gs pos="0">
                      <a:schemeClr val="accent4">
                        <a:lumMod val="20000"/>
                        <a:lumOff val="80000"/>
                      </a:schemeClr>
                    </a:gs>
                    <a:gs pos="29000">
                      <a:schemeClr val="accent4">
                        <a:lumMod val="20000"/>
                        <a:lumOff val="80000"/>
                      </a:schemeClr>
                    </a:gs>
                    <a:gs pos="3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45" name="Rectangle 244">
                  <a:extLst>
                    <a:ext uri="{FF2B5EF4-FFF2-40B4-BE49-F238E27FC236}">
                      <a16:creationId xmlns:a16="http://schemas.microsoft.com/office/drawing/2014/main" id="{00000000-0008-0000-0200-0000F5000000}"/>
                    </a:ext>
                  </a:extLst>
                </xdr:cNvPr>
                <xdr:cNvSpPr/>
              </xdr:nvSpPr>
              <xdr:spPr>
                <a:xfrm>
                  <a:off x="2293620" y="0"/>
                  <a:ext cx="457200" cy="1371600"/>
                </a:xfrm>
                <a:prstGeom prst="rect">
                  <a:avLst/>
                </a:prstGeom>
                <a:gradFill>
                  <a:gsLst>
                    <a:gs pos="0">
                      <a:schemeClr val="accent4">
                        <a:lumMod val="20000"/>
                        <a:lumOff val="80000"/>
                      </a:schemeClr>
                    </a:gs>
                    <a:gs pos="39000">
                      <a:schemeClr val="accent4">
                        <a:lumMod val="20000"/>
                        <a:lumOff val="80000"/>
                      </a:schemeClr>
                    </a:gs>
                    <a:gs pos="40000">
                      <a:srgbClr val="F0CDFF"/>
                    </a:gs>
                    <a:gs pos="100000">
                      <a:srgbClr val="D7B9FF"/>
                    </a:gs>
                  </a:gsLst>
                  <a:lin ang="5400000" scaled="1"/>
                </a:gradFill>
                <a:ln>
                  <a:solidFill>
                    <a:srgbClr val="7030A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46" name="Straight Connector 245">
                  <a:extLst>
                    <a:ext uri="{FF2B5EF4-FFF2-40B4-BE49-F238E27FC236}">
                      <a16:creationId xmlns:a16="http://schemas.microsoft.com/office/drawing/2014/main" id="{00000000-0008-0000-0200-0000F6000000}"/>
                    </a:ext>
                  </a:extLst>
                </xdr:cNvPr>
                <xdr:cNvCxnSpPr/>
              </xdr:nvCxnSpPr>
              <xdr:spPr>
                <a:xfrm flipH="1" flipV="1">
                  <a:off x="2095500" y="418496"/>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69" name="TextBox 268">
              <a:extLst>
                <a:ext uri="{FF2B5EF4-FFF2-40B4-BE49-F238E27FC236}">
                  <a16:creationId xmlns:a16="http://schemas.microsoft.com/office/drawing/2014/main" id="{00000000-0008-0000-0200-00000D010000}"/>
                </a:ext>
              </a:extLst>
            </xdr:cNvPr>
            <xdr:cNvSpPr txBox="1"/>
          </xdr:nvSpPr>
          <xdr:spPr>
            <a:xfrm>
              <a:off x="33528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0" name="TextBox 269">
              <a:extLst>
                <a:ext uri="{FF2B5EF4-FFF2-40B4-BE49-F238E27FC236}">
                  <a16:creationId xmlns:a16="http://schemas.microsoft.com/office/drawing/2014/main" id="{00000000-0008-0000-0200-00000E010000}"/>
                </a:ext>
              </a:extLst>
            </xdr:cNvPr>
            <xdr:cNvSpPr txBox="1"/>
          </xdr:nvSpPr>
          <xdr:spPr>
            <a:xfrm>
              <a:off x="89916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273" name="TextBox 272">
              <a:extLst>
                <a:ext uri="{FF2B5EF4-FFF2-40B4-BE49-F238E27FC236}">
                  <a16:creationId xmlns:a16="http://schemas.microsoft.com/office/drawing/2014/main" id="{00000000-0008-0000-0200-000011010000}"/>
                </a:ext>
              </a:extLst>
            </xdr:cNvPr>
            <xdr:cNvSpPr txBox="1"/>
          </xdr:nvSpPr>
          <xdr:spPr>
            <a:xfrm>
              <a:off x="173736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4" name="TextBox 273">
              <a:extLst>
                <a:ext uri="{FF2B5EF4-FFF2-40B4-BE49-F238E27FC236}">
                  <a16:creationId xmlns:a16="http://schemas.microsoft.com/office/drawing/2014/main" id="{00000000-0008-0000-0200-000012010000}"/>
                </a:ext>
              </a:extLst>
            </xdr:cNvPr>
            <xdr:cNvSpPr txBox="1"/>
          </xdr:nvSpPr>
          <xdr:spPr>
            <a:xfrm>
              <a:off x="230124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grpSp>
      <xdr:grpSp>
        <xdr:nvGrpSpPr>
          <xdr:cNvPr id="278" name="Group 277">
            <a:extLst>
              <a:ext uri="{FF2B5EF4-FFF2-40B4-BE49-F238E27FC236}">
                <a16:creationId xmlns:a16="http://schemas.microsoft.com/office/drawing/2014/main" id="{00000000-0008-0000-0200-000016010000}"/>
              </a:ext>
            </a:extLst>
          </xdr:cNvPr>
          <xdr:cNvGrpSpPr/>
        </xdr:nvGrpSpPr>
        <xdr:grpSpPr>
          <a:xfrm>
            <a:off x="3268980" y="128540087"/>
            <a:ext cx="2743200" cy="1257300"/>
            <a:chOff x="3299460" y="48415787"/>
            <a:chExt cx="2743200" cy="1371600"/>
          </a:xfrm>
        </xdr:grpSpPr>
        <xdr:grpSp>
          <xdr:nvGrpSpPr>
            <xdr:cNvPr id="229" name="Group 228">
              <a:extLst>
                <a:ext uri="{FF2B5EF4-FFF2-40B4-BE49-F238E27FC236}">
                  <a16:creationId xmlns:a16="http://schemas.microsoft.com/office/drawing/2014/main" id="{00000000-0008-0000-0200-0000E5000000}"/>
                </a:ext>
              </a:extLst>
            </xdr:cNvPr>
            <xdr:cNvGrpSpPr>
              <a:grpSpLocks noChangeAspect="1"/>
            </xdr:cNvGrpSpPr>
          </xdr:nvGrpSpPr>
          <xdr:grpSpPr>
            <a:xfrm>
              <a:off x="3299460" y="48415787"/>
              <a:ext cx="2743200" cy="1371600"/>
              <a:chOff x="0" y="0"/>
              <a:chExt cx="3200400" cy="1554480"/>
            </a:xfrm>
          </xdr:grpSpPr>
          <xdr:sp macro="" textlink="">
            <xdr:nvSpPr>
              <xdr:cNvPr id="230" name="Rectangle 229">
                <a:extLst>
                  <a:ext uri="{FF2B5EF4-FFF2-40B4-BE49-F238E27FC236}">
                    <a16:creationId xmlns:a16="http://schemas.microsoft.com/office/drawing/2014/main" id="{00000000-0008-0000-0200-0000E6000000}"/>
                  </a:ext>
                </a:extLst>
              </xdr:cNvPr>
              <xdr:cNvSpPr/>
            </xdr:nvSpPr>
            <xdr:spPr>
              <a:xfrm>
                <a:off x="0" y="0"/>
                <a:ext cx="3200400" cy="1554480"/>
              </a:xfrm>
              <a:prstGeom prst="rect">
                <a:avLst/>
              </a:prstGeom>
              <a:solidFill>
                <a:srgbClr val="FF9999"/>
              </a:solidFill>
              <a:ln w="28575">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231" name="Group 230">
                <a:extLst>
                  <a:ext uri="{FF2B5EF4-FFF2-40B4-BE49-F238E27FC236}">
                    <a16:creationId xmlns:a16="http://schemas.microsoft.com/office/drawing/2014/main" id="{00000000-0008-0000-0200-0000E7000000}"/>
                  </a:ext>
                </a:extLst>
              </xdr:cNvPr>
              <xdr:cNvGrpSpPr/>
            </xdr:nvGrpSpPr>
            <xdr:grpSpPr>
              <a:xfrm>
                <a:off x="213360" y="99060"/>
                <a:ext cx="2750820" cy="1371600"/>
                <a:chOff x="0" y="0"/>
                <a:chExt cx="2750820" cy="1371600"/>
              </a:xfrm>
            </xdr:grpSpPr>
            <xdr:sp macro="" textlink="">
              <xdr:nvSpPr>
                <xdr:cNvPr id="232" name="Rectangle 231">
                  <a:extLst>
                    <a:ext uri="{FF2B5EF4-FFF2-40B4-BE49-F238E27FC236}">
                      <a16:creationId xmlns:a16="http://schemas.microsoft.com/office/drawing/2014/main" id="{00000000-0008-0000-0200-0000E8000000}"/>
                    </a:ext>
                  </a:extLst>
                </xdr:cNvPr>
                <xdr:cNvSpPr/>
              </xdr:nvSpPr>
              <xdr:spPr>
                <a:xfrm>
                  <a:off x="0" y="0"/>
                  <a:ext cx="457200" cy="1371600"/>
                </a:xfrm>
                <a:prstGeom prst="rect">
                  <a:avLst/>
                </a:prstGeom>
                <a:gradFill>
                  <a:gsLst>
                    <a:gs pos="0">
                      <a:schemeClr val="accent4">
                        <a:lumMod val="20000"/>
                        <a:lumOff val="80000"/>
                      </a:schemeClr>
                    </a:gs>
                    <a:gs pos="79000">
                      <a:schemeClr val="accent4">
                        <a:lumMod val="20000"/>
                        <a:lumOff val="80000"/>
                      </a:schemeClr>
                    </a:gs>
                    <a:gs pos="8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33" name="Rectangle 232">
                  <a:extLst>
                    <a:ext uri="{FF2B5EF4-FFF2-40B4-BE49-F238E27FC236}">
                      <a16:creationId xmlns:a16="http://schemas.microsoft.com/office/drawing/2014/main" id="{00000000-0008-0000-0200-0000E9000000}"/>
                    </a:ext>
                  </a:extLst>
                </xdr:cNvPr>
                <xdr:cNvSpPr/>
              </xdr:nvSpPr>
              <xdr:spPr>
                <a:xfrm>
                  <a:off x="655320" y="0"/>
                  <a:ext cx="457200" cy="1371600"/>
                </a:xfrm>
                <a:prstGeom prst="rect">
                  <a:avLst/>
                </a:prstGeom>
                <a:gradFill>
                  <a:gsLst>
                    <a:gs pos="0">
                      <a:schemeClr val="accent4">
                        <a:lumMod val="20000"/>
                        <a:lumOff val="80000"/>
                      </a:schemeClr>
                    </a:gs>
                    <a:gs pos="69000">
                      <a:schemeClr val="accent4">
                        <a:lumMod val="20000"/>
                        <a:lumOff val="80000"/>
                      </a:schemeClr>
                    </a:gs>
                    <a:gs pos="70000">
                      <a:srgbClr val="F0CDFF"/>
                    </a:gs>
                    <a:gs pos="100000">
                      <a:srgbClr val="D7B9FF"/>
                    </a:gs>
                  </a:gsLst>
                  <a:lin ang="5400000" scaled="1"/>
                </a:gradFill>
                <a:ln>
                  <a:solidFill>
                    <a:srgbClr val="7030A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34" name="Straight Connector 233">
                  <a:extLst>
                    <a:ext uri="{FF2B5EF4-FFF2-40B4-BE49-F238E27FC236}">
                      <a16:creationId xmlns:a16="http://schemas.microsoft.com/office/drawing/2014/main" id="{00000000-0008-0000-0200-0000EA000000}"/>
                    </a:ext>
                  </a:extLst>
                </xdr:cNvPr>
                <xdr:cNvCxnSpPr/>
              </xdr:nvCxnSpPr>
              <xdr:spPr>
                <a:xfrm flipV="1">
                  <a:off x="457200" y="967135"/>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35" name="Rectangle 234">
                  <a:extLst>
                    <a:ext uri="{FF2B5EF4-FFF2-40B4-BE49-F238E27FC236}">
                      <a16:creationId xmlns:a16="http://schemas.microsoft.com/office/drawing/2014/main" id="{00000000-0008-0000-0200-0000EB000000}"/>
                    </a:ext>
                  </a:extLst>
                </xdr:cNvPr>
                <xdr:cNvSpPr/>
              </xdr:nvSpPr>
              <xdr:spPr>
                <a:xfrm>
                  <a:off x="1638300" y="0"/>
                  <a:ext cx="457200" cy="1371600"/>
                </a:xfrm>
                <a:prstGeom prst="rect">
                  <a:avLst/>
                </a:prstGeom>
                <a:gradFill>
                  <a:gsLst>
                    <a:gs pos="0">
                      <a:schemeClr val="accent4">
                        <a:lumMod val="20000"/>
                        <a:lumOff val="80000"/>
                      </a:schemeClr>
                    </a:gs>
                    <a:gs pos="39000">
                      <a:schemeClr val="accent4">
                        <a:lumMod val="20000"/>
                        <a:lumOff val="80000"/>
                      </a:schemeClr>
                    </a:gs>
                    <a:gs pos="4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36" name="Rectangle 235">
                  <a:extLst>
                    <a:ext uri="{FF2B5EF4-FFF2-40B4-BE49-F238E27FC236}">
                      <a16:creationId xmlns:a16="http://schemas.microsoft.com/office/drawing/2014/main" id="{00000000-0008-0000-0200-0000EC000000}"/>
                    </a:ext>
                  </a:extLst>
                </xdr:cNvPr>
                <xdr:cNvSpPr/>
              </xdr:nvSpPr>
              <xdr:spPr>
                <a:xfrm>
                  <a:off x="2293620" y="0"/>
                  <a:ext cx="457200" cy="1371600"/>
                </a:xfrm>
                <a:prstGeom prst="rect">
                  <a:avLst/>
                </a:prstGeom>
                <a:gradFill>
                  <a:gsLst>
                    <a:gs pos="0">
                      <a:schemeClr val="accent4">
                        <a:lumMod val="20000"/>
                        <a:lumOff val="80000"/>
                      </a:schemeClr>
                    </a:gs>
                    <a:gs pos="29000">
                      <a:schemeClr val="accent4">
                        <a:lumMod val="20000"/>
                        <a:lumOff val="80000"/>
                      </a:schemeClr>
                    </a:gs>
                    <a:gs pos="30000">
                      <a:srgbClr val="F0CDFF"/>
                    </a:gs>
                    <a:gs pos="100000">
                      <a:srgbClr val="D7B9FF"/>
                    </a:gs>
                  </a:gsLst>
                  <a:lin ang="5400000" scaled="1"/>
                </a:gradFill>
                <a:ln>
                  <a:solidFill>
                    <a:srgbClr val="7030A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37" name="Straight Connector 236">
                  <a:extLst>
                    <a:ext uri="{FF2B5EF4-FFF2-40B4-BE49-F238E27FC236}">
                      <a16:creationId xmlns:a16="http://schemas.microsoft.com/office/drawing/2014/main" id="{00000000-0008-0000-0200-0000ED000000}"/>
                    </a:ext>
                  </a:extLst>
                </xdr:cNvPr>
                <xdr:cNvCxnSpPr/>
              </xdr:nvCxnSpPr>
              <xdr:spPr>
                <a:xfrm flipV="1">
                  <a:off x="2095500" y="411288"/>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71" name="TextBox 270">
              <a:extLst>
                <a:ext uri="{FF2B5EF4-FFF2-40B4-BE49-F238E27FC236}">
                  <a16:creationId xmlns:a16="http://schemas.microsoft.com/office/drawing/2014/main" id="{00000000-0008-0000-0200-00000F010000}"/>
                </a:ext>
              </a:extLst>
            </xdr:cNvPr>
            <xdr:cNvSpPr txBox="1"/>
          </xdr:nvSpPr>
          <xdr:spPr>
            <a:xfrm>
              <a:off x="347472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2" name="TextBox 271">
              <a:extLst>
                <a:ext uri="{FF2B5EF4-FFF2-40B4-BE49-F238E27FC236}">
                  <a16:creationId xmlns:a16="http://schemas.microsoft.com/office/drawing/2014/main" id="{00000000-0008-0000-0200-000010010000}"/>
                </a:ext>
              </a:extLst>
            </xdr:cNvPr>
            <xdr:cNvSpPr txBox="1"/>
          </xdr:nvSpPr>
          <xdr:spPr>
            <a:xfrm>
              <a:off x="403860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275" name="TextBox 274">
              <a:extLst>
                <a:ext uri="{FF2B5EF4-FFF2-40B4-BE49-F238E27FC236}">
                  <a16:creationId xmlns:a16="http://schemas.microsoft.com/office/drawing/2014/main" id="{00000000-0008-0000-0200-000013010000}"/>
                </a:ext>
              </a:extLst>
            </xdr:cNvPr>
            <xdr:cNvSpPr txBox="1"/>
          </xdr:nvSpPr>
          <xdr:spPr>
            <a:xfrm>
              <a:off x="487680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6" name="TextBox 275">
              <a:extLst>
                <a:ext uri="{FF2B5EF4-FFF2-40B4-BE49-F238E27FC236}">
                  <a16:creationId xmlns:a16="http://schemas.microsoft.com/office/drawing/2014/main" id="{00000000-0008-0000-0200-000014010000}"/>
                </a:ext>
              </a:extLst>
            </xdr:cNvPr>
            <xdr:cNvSpPr txBox="1"/>
          </xdr:nvSpPr>
          <xdr:spPr>
            <a:xfrm>
              <a:off x="544068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grpSp>
    </xdr:grpSp>
    <xdr:clientData/>
  </xdr:twoCellAnchor>
  <xdr:twoCellAnchor>
    <xdr:from>
      <xdr:col>14</xdr:col>
      <xdr:colOff>54972</xdr:colOff>
      <xdr:row>202</xdr:row>
      <xdr:rowOff>94240</xdr:rowOff>
    </xdr:from>
    <xdr:to>
      <xdr:col>26</xdr:col>
      <xdr:colOff>495299</xdr:colOff>
      <xdr:row>222</xdr:row>
      <xdr:rowOff>0</xdr:rowOff>
    </xdr:to>
    <xdr:grpSp>
      <xdr:nvGrpSpPr>
        <xdr:cNvPr id="297" name="SWOT lettering" hidden="1">
          <a:extLst>
            <a:ext uri="{FF2B5EF4-FFF2-40B4-BE49-F238E27FC236}">
              <a16:creationId xmlns:a16="http://schemas.microsoft.com/office/drawing/2014/main" id="{00000000-0008-0000-0200-000029010000}"/>
            </a:ext>
          </a:extLst>
        </xdr:cNvPr>
        <xdr:cNvGrpSpPr/>
      </xdr:nvGrpSpPr>
      <xdr:grpSpPr>
        <a:xfrm>
          <a:off x="6318612" y="43711120"/>
          <a:ext cx="6086747" cy="4866380"/>
          <a:chOff x="6242412" y="35123380"/>
          <a:chExt cx="6010547" cy="4493000"/>
        </a:xfrm>
      </xdr:grpSpPr>
      <xdr:sp macro="" textlink="">
        <xdr:nvSpPr>
          <xdr:cNvPr id="289" name="S blue of SWOT">
            <a:extLst>
              <a:ext uri="{FF2B5EF4-FFF2-40B4-BE49-F238E27FC236}">
                <a16:creationId xmlns:a16="http://schemas.microsoft.com/office/drawing/2014/main" id="{00000000-0008-0000-0200-000021010000}"/>
              </a:ext>
            </a:extLst>
          </xdr:cNvPr>
          <xdr:cNvSpPr/>
        </xdr:nvSpPr>
        <xdr:spPr>
          <a:xfrm>
            <a:off x="6242412" y="3552724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S</a:t>
            </a:r>
          </a:p>
        </xdr:txBody>
      </xdr:sp>
      <xdr:sp macro="" textlink="">
        <xdr:nvSpPr>
          <xdr:cNvPr id="291" name="W blue of SWOT">
            <a:extLst>
              <a:ext uri="{FF2B5EF4-FFF2-40B4-BE49-F238E27FC236}">
                <a16:creationId xmlns:a16="http://schemas.microsoft.com/office/drawing/2014/main" id="{00000000-0008-0000-0200-000023010000}"/>
              </a:ext>
            </a:extLst>
          </xdr:cNvPr>
          <xdr:cNvSpPr/>
        </xdr:nvSpPr>
        <xdr:spPr>
          <a:xfrm>
            <a:off x="7286352" y="35527240"/>
            <a:ext cx="1529987" cy="2344160"/>
          </a:xfrm>
          <a:prstGeom prst="rect">
            <a:avLst/>
          </a:prstGeom>
          <a:noFill/>
        </xdr:spPr>
        <xdr:txBody>
          <a:bodyPr wrap="none" lIns="0" tIns="0" rIns="0" bIns="0">
            <a:noAutofit/>
          </a:bodyPr>
          <a:lstStyle/>
          <a:p>
            <a:pPr algn="ctr"/>
            <a:r>
              <a:rPr lang="en-US" sz="16500" b="0" cap="none" spc="-6000" baseline="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292" name="O blue of SWOT">
            <a:extLst>
              <a:ext uri="{FF2B5EF4-FFF2-40B4-BE49-F238E27FC236}">
                <a16:creationId xmlns:a16="http://schemas.microsoft.com/office/drawing/2014/main" id="{00000000-0008-0000-0200-000024010000}"/>
              </a:ext>
            </a:extLst>
          </xdr:cNvPr>
          <xdr:cNvSpPr/>
        </xdr:nvSpPr>
        <xdr:spPr>
          <a:xfrm>
            <a:off x="627289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O</a:t>
            </a:r>
          </a:p>
        </xdr:txBody>
      </xdr:sp>
      <xdr:sp macro="" textlink="">
        <xdr:nvSpPr>
          <xdr:cNvPr id="293" name="T blue of SWOT">
            <a:extLst>
              <a:ext uri="{FF2B5EF4-FFF2-40B4-BE49-F238E27FC236}">
                <a16:creationId xmlns:a16="http://schemas.microsoft.com/office/drawing/2014/main" id="{00000000-0008-0000-0200-000025010000}"/>
              </a:ext>
            </a:extLst>
          </xdr:cNvPr>
          <xdr:cNvSpPr/>
        </xdr:nvSpPr>
        <xdr:spPr>
          <a:xfrm>
            <a:off x="777403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T</a:t>
            </a:r>
          </a:p>
        </xdr:txBody>
      </xdr:sp>
      <xdr:sp macro="" textlink="">
        <xdr:nvSpPr>
          <xdr:cNvPr id="290" name="S red of SWOT">
            <a:extLst>
              <a:ext uri="{FF2B5EF4-FFF2-40B4-BE49-F238E27FC236}">
                <a16:creationId xmlns:a16="http://schemas.microsoft.com/office/drawing/2014/main" id="{00000000-0008-0000-0200-000022010000}"/>
              </a:ext>
            </a:extLst>
          </xdr:cNvPr>
          <xdr:cNvSpPr/>
        </xdr:nvSpPr>
        <xdr:spPr>
          <a:xfrm>
            <a:off x="9275172" y="3512338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S</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296" name="W red of SWOT">
            <a:extLst>
              <a:ext uri="{FF2B5EF4-FFF2-40B4-BE49-F238E27FC236}">
                <a16:creationId xmlns:a16="http://schemas.microsoft.com/office/drawing/2014/main" id="{00000000-0008-0000-0200-000028010000}"/>
              </a:ext>
            </a:extLst>
          </xdr:cNvPr>
          <xdr:cNvSpPr/>
        </xdr:nvSpPr>
        <xdr:spPr>
          <a:xfrm>
            <a:off x="10326732" y="35527240"/>
            <a:ext cx="1529987" cy="2344160"/>
          </a:xfrm>
          <a:prstGeom prst="rect">
            <a:avLst/>
          </a:prstGeom>
          <a:noFill/>
        </xdr:spPr>
        <xdr:txBody>
          <a:bodyPr wrap="none" lIns="0" tIns="0" rIns="0" bIns="0">
            <a:noAutofit/>
          </a:bodyPr>
          <a:lstStyle/>
          <a:p>
            <a:pPr algn="ctr"/>
            <a:r>
              <a:rPr lang="en-US" sz="16500" b="0" cap="none" spc="-6000" baseline="0">
                <a:ln w="0">
                  <a:solidFill>
                    <a:srgbClr val="FF3C3C"/>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294" name="O red of SWOT">
            <a:extLst>
              <a:ext uri="{FF2B5EF4-FFF2-40B4-BE49-F238E27FC236}">
                <a16:creationId xmlns:a16="http://schemas.microsoft.com/office/drawing/2014/main" id="{00000000-0008-0000-0200-000026010000}"/>
              </a:ext>
            </a:extLst>
          </xdr:cNvPr>
          <xdr:cNvSpPr/>
        </xdr:nvSpPr>
        <xdr:spPr>
          <a:xfrm>
            <a:off x="92751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O</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295" name="T red of SWOT">
            <a:extLst>
              <a:ext uri="{FF2B5EF4-FFF2-40B4-BE49-F238E27FC236}">
                <a16:creationId xmlns:a16="http://schemas.microsoft.com/office/drawing/2014/main" id="{00000000-0008-0000-0200-000027010000}"/>
              </a:ext>
            </a:extLst>
          </xdr:cNvPr>
          <xdr:cNvSpPr/>
        </xdr:nvSpPr>
        <xdr:spPr>
          <a:xfrm>
            <a:off x="107229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T</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grpSp>
    <xdr:clientData/>
  </xdr:twoCellAnchor>
  <xdr:twoCellAnchor>
    <xdr:from>
      <xdr:col>0</xdr:col>
      <xdr:colOff>22861</xdr:colOff>
      <xdr:row>204</xdr:row>
      <xdr:rowOff>53341</xdr:rowOff>
    </xdr:from>
    <xdr:to>
      <xdr:col>2</xdr:col>
      <xdr:colOff>457200</xdr:colOff>
      <xdr:row>207</xdr:row>
      <xdr:rowOff>175260</xdr:rowOff>
    </xdr:to>
    <xdr:sp macro="" textlink="">
      <xdr:nvSpPr>
        <xdr:cNvPr id="464" name="You believe whatever serves your needs.">
          <a:extLst>
            <a:ext uri="{FF2B5EF4-FFF2-40B4-BE49-F238E27FC236}">
              <a16:creationId xmlns:a16="http://schemas.microsoft.com/office/drawing/2014/main" id="{00000000-0008-0000-0200-0000D0010000}"/>
            </a:ext>
          </a:extLst>
        </xdr:cNvPr>
        <xdr:cNvSpPr txBox="1">
          <a:spLocks/>
        </xdr:cNvSpPr>
      </xdr:nvSpPr>
      <xdr:spPr>
        <a:xfrm>
          <a:off x="22861" y="35577781"/>
          <a:ext cx="1051559" cy="87629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1" spc="-50">
              <a:solidFill>
                <a:srgbClr val="007332"/>
              </a:solidFill>
              <a:latin typeface="Franklin Gothic Demi" panose="020B0703020102020204" pitchFamily="34" charset="0"/>
              <a:ea typeface="Tahoma" panose="020B0604030504040204" pitchFamily="34" charset="0"/>
              <a:cs typeface="Tahoma" panose="020B0604030504040204" pitchFamily="34" charset="0"/>
            </a:rPr>
            <a:t>I need to focus more on wider relationships, minorities oppressed by historical trauma.</a:t>
          </a:r>
        </a:p>
      </xdr:txBody>
    </xdr:sp>
    <xdr:clientData/>
  </xdr:twoCellAnchor>
  <xdr:twoCellAnchor>
    <xdr:from>
      <xdr:col>1</xdr:col>
      <xdr:colOff>27989</xdr:colOff>
      <xdr:row>200</xdr:row>
      <xdr:rowOff>126617</xdr:rowOff>
    </xdr:from>
    <xdr:to>
      <xdr:col>2</xdr:col>
      <xdr:colOff>327660</xdr:colOff>
      <xdr:row>204</xdr:row>
      <xdr:rowOff>7628</xdr:rowOff>
    </xdr:to>
    <xdr:grpSp>
      <xdr:nvGrpSpPr>
        <xdr:cNvPr id="8" name="Group 7">
          <a:extLst>
            <a:ext uri="{FF2B5EF4-FFF2-40B4-BE49-F238E27FC236}">
              <a16:creationId xmlns:a16="http://schemas.microsoft.com/office/drawing/2014/main" id="{00000000-0008-0000-0200-000008000000}"/>
            </a:ext>
          </a:extLst>
        </xdr:cNvPr>
        <xdr:cNvGrpSpPr/>
      </xdr:nvGrpSpPr>
      <xdr:grpSpPr>
        <a:xfrm>
          <a:off x="142289" y="43309157"/>
          <a:ext cx="802591" cy="818271"/>
          <a:chOff x="294689" y="26110809"/>
          <a:chExt cx="794971" cy="659752"/>
        </a:xfrm>
        <a:effectLst>
          <a:outerShdw blurRad="50800" dist="38100" dir="2700000" algn="tl" rotWithShape="0">
            <a:prstClr val="black">
              <a:alpha val="40000"/>
            </a:prstClr>
          </a:outerShdw>
        </a:effectLst>
      </xdr:grpSpPr>
      <xdr:sp macro="" textlink="">
        <xdr:nvSpPr>
          <xdr:cNvPr id="466" name="Rectangle: Rounded Corners 465">
            <a:extLst>
              <a:ext uri="{FF2B5EF4-FFF2-40B4-BE49-F238E27FC236}">
                <a16:creationId xmlns:a16="http://schemas.microsoft.com/office/drawing/2014/main" id="{00000000-0008-0000-0200-0000D2010000}"/>
              </a:ext>
            </a:extLst>
          </xdr:cNvPr>
          <xdr:cNvSpPr>
            <a:spLocks noChangeAspect="1"/>
          </xdr:cNvSpPr>
        </xdr:nvSpPr>
        <xdr:spPr>
          <a:xfrm>
            <a:off x="353997" y="26193394"/>
            <a:ext cx="685800" cy="552944"/>
          </a:xfrm>
          <a:prstGeom prst="roundRect">
            <a:avLst/>
          </a:prstGeom>
          <a:solidFill>
            <a:srgbClr val="0070C0"/>
          </a:solid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050"/>
          </a:p>
        </xdr:txBody>
      </xdr:sp>
      <xdr:sp macro="" textlink="">
        <xdr:nvSpPr>
          <xdr:cNvPr id="467" name="Rectangle 466">
            <a:extLst>
              <a:ext uri="{FF2B5EF4-FFF2-40B4-BE49-F238E27FC236}">
                <a16:creationId xmlns:a16="http://schemas.microsoft.com/office/drawing/2014/main" id="{00000000-0008-0000-0200-0000D3010000}"/>
              </a:ext>
            </a:extLst>
          </xdr:cNvPr>
          <xdr:cNvSpPr/>
        </xdr:nvSpPr>
        <xdr:spPr>
          <a:xfrm>
            <a:off x="294689" y="26110809"/>
            <a:ext cx="794971" cy="659752"/>
          </a:xfrm>
          <a:prstGeom prst="rect">
            <a:avLst/>
          </a:prstGeom>
          <a:noFill/>
        </xdr:spPr>
        <xdr:txBody>
          <a:bodyPr wrap="square" lIns="91440" tIns="45720" rIns="91440" bIns="4572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4400" b="1" cap="none" spc="50">
                <a:ln w="9525" cmpd="sng">
                  <a:solidFill>
                    <a:srgbClr val="0070C0"/>
                  </a:solidFill>
                  <a:prstDash val="solid"/>
                </a:ln>
                <a:solidFill>
                  <a:srgbClr val="A0E6FF"/>
                </a:solidFill>
                <a:effectLst>
                  <a:glow rad="38100">
                    <a:schemeClr val="accent1">
                      <a:alpha val="40000"/>
                    </a:schemeClr>
                  </a:glow>
                </a:effectLst>
                <a:latin typeface="Arial Black" panose="020B0A04020102020204" pitchFamily="34" charset="0"/>
              </a:rPr>
              <a:t>W</a:t>
            </a:r>
          </a:p>
        </xdr:txBody>
      </xdr:sp>
    </xdr:grpSp>
    <xdr:clientData/>
  </xdr:twoCellAnchor>
  <xdr:twoCellAnchor>
    <xdr:from>
      <xdr:col>11</xdr:col>
      <xdr:colOff>208899</xdr:colOff>
      <xdr:row>200</xdr:row>
      <xdr:rowOff>80899</xdr:rowOff>
    </xdr:from>
    <xdr:to>
      <xdr:col>12</xdr:col>
      <xdr:colOff>472440</xdr:colOff>
      <xdr:row>204</xdr:row>
      <xdr:rowOff>60971</xdr:rowOff>
    </xdr:to>
    <xdr:grpSp>
      <xdr:nvGrpSpPr>
        <xdr:cNvPr id="7" name="Group 6">
          <a:extLst>
            <a:ext uri="{FF2B5EF4-FFF2-40B4-BE49-F238E27FC236}">
              <a16:creationId xmlns:a16="http://schemas.microsoft.com/office/drawing/2014/main" id="{00000000-0008-0000-0200-000007000000}"/>
            </a:ext>
          </a:extLst>
        </xdr:cNvPr>
        <xdr:cNvGrpSpPr/>
      </xdr:nvGrpSpPr>
      <xdr:grpSpPr>
        <a:xfrm>
          <a:off x="5352399" y="43263439"/>
          <a:ext cx="766461" cy="917332"/>
          <a:chOff x="5207619" y="25575012"/>
          <a:chExt cx="758841" cy="683449"/>
        </a:xfrm>
      </xdr:grpSpPr>
      <xdr:sp macro="" textlink="">
        <xdr:nvSpPr>
          <xdr:cNvPr id="468" name="Rectangle: Rounded Corners 467">
            <a:extLst>
              <a:ext uri="{FF2B5EF4-FFF2-40B4-BE49-F238E27FC236}">
                <a16:creationId xmlns:a16="http://schemas.microsoft.com/office/drawing/2014/main" id="{00000000-0008-0000-0200-0000D4010000}"/>
              </a:ext>
            </a:extLst>
          </xdr:cNvPr>
          <xdr:cNvSpPr>
            <a:spLocks noChangeAspect="1"/>
          </xdr:cNvSpPr>
        </xdr:nvSpPr>
        <xdr:spPr>
          <a:xfrm>
            <a:off x="5227534" y="25690474"/>
            <a:ext cx="685800" cy="510949"/>
          </a:xfrm>
          <a:prstGeom prst="roundRect">
            <a:avLst/>
          </a:prstGeom>
          <a:solidFill>
            <a:srgbClr val="AF0000"/>
          </a:solidFill>
          <a:effectLst>
            <a:outerShdw blurRad="50800" dist="38100" dir="8100000" algn="tr" rotWithShape="0">
              <a:prstClr val="black">
                <a:alpha val="40000"/>
              </a:prstClr>
            </a:outerShdw>
          </a:effectLst>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050"/>
          </a:p>
        </xdr:txBody>
      </xdr:sp>
      <xdr:sp macro="" textlink="">
        <xdr:nvSpPr>
          <xdr:cNvPr id="469" name="Rectangle 468">
            <a:extLst>
              <a:ext uri="{FF2B5EF4-FFF2-40B4-BE49-F238E27FC236}">
                <a16:creationId xmlns:a16="http://schemas.microsoft.com/office/drawing/2014/main" id="{00000000-0008-0000-0200-0000D5010000}"/>
              </a:ext>
            </a:extLst>
          </xdr:cNvPr>
          <xdr:cNvSpPr/>
        </xdr:nvSpPr>
        <xdr:spPr>
          <a:xfrm>
            <a:off x="5207619" y="25575012"/>
            <a:ext cx="758841" cy="683449"/>
          </a:xfrm>
          <a:prstGeom prst="rect">
            <a:avLst/>
          </a:prstGeom>
          <a:noFill/>
          <a:effectLst>
            <a:outerShdw blurRad="50800" dist="38100" dir="8100000" algn="tr" rotWithShape="0">
              <a:prstClr val="black">
                <a:alpha val="40000"/>
              </a:prstClr>
            </a:outerShdw>
          </a:effectLst>
        </xdr:spPr>
        <xdr:txBody>
          <a:bodyPr wrap="square" lIns="91440" tIns="45720" rIns="91440" bIns="4572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4800" b="1" cap="none" spc="150" baseline="0">
                <a:ln w="9525" cmpd="sng">
                  <a:solidFill>
                    <a:srgbClr val="C00000"/>
                  </a:solidFill>
                  <a:prstDash val="solid"/>
                </a:ln>
                <a:solidFill>
                  <a:srgbClr val="FFDDDD"/>
                </a:solidFill>
                <a:effectLst>
                  <a:glow rad="38100">
                    <a:schemeClr val="accent1">
                      <a:alpha val="40000"/>
                    </a:schemeClr>
                  </a:glow>
                </a:effectLst>
                <a:latin typeface="Arial Black" panose="020B0A04020102020204" pitchFamily="34" charset="0"/>
              </a:rPr>
              <a:t>D</a:t>
            </a:r>
            <a:endParaRPr lang="en-US" sz="4400" b="1" cap="none" spc="150" baseline="0">
              <a:ln w="9525" cmpd="sng">
                <a:solidFill>
                  <a:srgbClr val="C00000"/>
                </a:solidFill>
                <a:prstDash val="solid"/>
              </a:ln>
              <a:solidFill>
                <a:srgbClr val="FFDDDD"/>
              </a:solidFill>
              <a:effectLst>
                <a:glow rad="38100">
                  <a:schemeClr val="accent1">
                    <a:alpha val="40000"/>
                  </a:schemeClr>
                </a:glow>
              </a:effectLst>
              <a:latin typeface="Arial Black" panose="020B0A04020102020204" pitchFamily="34" charset="0"/>
            </a:endParaRPr>
          </a:p>
        </xdr:txBody>
      </xdr:sp>
    </xdr:grpSp>
    <xdr:clientData/>
  </xdr:twoCellAnchor>
  <xdr:oneCellAnchor>
    <xdr:from>
      <xdr:col>15</xdr:col>
      <xdr:colOff>22860</xdr:colOff>
      <xdr:row>658</xdr:row>
      <xdr:rowOff>60960</xdr:rowOff>
    </xdr:from>
    <xdr:ext cx="5943600" cy="3110484"/>
    <xdr:pic>
      <xdr:nvPicPr>
        <xdr:cNvPr id="454" name="Picture 453" hidden="1">
          <a:extLst>
            <a:ext uri="{FF2B5EF4-FFF2-40B4-BE49-F238E27FC236}">
              <a16:creationId xmlns:a16="http://schemas.microsoft.com/office/drawing/2014/main" id="{00000000-0008-0000-0200-0000C6010000}"/>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6332220" y="79415640"/>
          <a:ext cx="5943600" cy="3110484"/>
        </a:xfrm>
        <a:prstGeom prst="rect">
          <a:avLst/>
        </a:prstGeom>
      </xdr:spPr>
    </xdr:pic>
    <xdr:clientData/>
  </xdr:oneCellAnchor>
  <xdr:twoCellAnchor>
    <xdr:from>
      <xdr:col>1</xdr:col>
      <xdr:colOff>0</xdr:colOff>
      <xdr:row>89</xdr:row>
      <xdr:rowOff>92287</xdr:rowOff>
    </xdr:from>
    <xdr:to>
      <xdr:col>12</xdr:col>
      <xdr:colOff>472440</xdr:colOff>
      <xdr:row>93</xdr:row>
      <xdr:rowOff>99060</xdr:rowOff>
    </xdr:to>
    <xdr:sp macro="" textlink="">
      <xdr:nvSpPr>
        <xdr:cNvPr id="579" name="TextBox 578">
          <a:extLst>
            <a:ext uri="{FF2B5EF4-FFF2-40B4-BE49-F238E27FC236}">
              <a16:creationId xmlns:a16="http://schemas.microsoft.com/office/drawing/2014/main" id="{00000000-0008-0000-0200-000043020000}"/>
            </a:ext>
          </a:extLst>
        </xdr:cNvPr>
        <xdr:cNvSpPr txBox="1"/>
      </xdr:nvSpPr>
      <xdr:spPr>
        <a:xfrm>
          <a:off x="121920" y="8969587"/>
          <a:ext cx="5920740" cy="1119293"/>
        </a:xfrm>
        <a:prstGeom prst="rect">
          <a:avLst/>
        </a:prstGeom>
        <a:solidFill>
          <a:srgbClr val="5AFFA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91440" rtlCol="0" anchor="ctr"/>
        <a:lstStyle/>
        <a:p>
          <a:pPr algn="ctr"/>
          <a:r>
            <a:rPr lang="en-US" sz="4600" b="1">
              <a:latin typeface="Verdana" panose="020B0604030504040204" pitchFamily="34" charset="0"/>
              <a:ea typeface="Verdana" panose="020B0604030504040204" pitchFamily="34" charset="0"/>
            </a:rPr>
            <a:t>Harmony Politics</a:t>
          </a:r>
          <a:r>
            <a:rPr lang="en-US" sz="4400" b="1">
              <a:latin typeface="Verdana" panose="020B0604030504040204" pitchFamily="34" charset="0"/>
              <a:ea typeface="Verdana" panose="020B0604030504040204" pitchFamily="34" charset="0"/>
            </a:rPr>
            <a:t> </a:t>
          </a:r>
        </a:p>
        <a:p>
          <a:pPr algn="ctr"/>
          <a:r>
            <a:rPr lang="en-US" sz="1300">
              <a:latin typeface="Verdana" panose="020B0604030504040204" pitchFamily="34" charset="0"/>
              <a:ea typeface="Verdana" panose="020B0604030504040204" pitchFamily="34" charset="0"/>
            </a:rPr>
            <a:t>answers</a:t>
          </a:r>
          <a:r>
            <a:rPr lang="en-US" sz="1300" baseline="0">
              <a:latin typeface="Verdana" panose="020B0604030504040204" pitchFamily="34" charset="0"/>
              <a:ea typeface="Verdana" panose="020B0604030504040204" pitchFamily="34" charset="0"/>
            </a:rPr>
            <a:t> </a:t>
          </a:r>
          <a:r>
            <a:rPr lang="en-US" sz="1300" b="0" i="1" u="none" baseline="0">
              <a:ln w="9525">
                <a:solidFill>
                  <a:schemeClr val="tx1">
                    <a:lumMod val="85000"/>
                    <a:lumOff val="15000"/>
                  </a:schemeClr>
                </a:solidFill>
              </a:ln>
              <a:latin typeface="Verdana" panose="020B0604030504040204" pitchFamily="34" charset="0"/>
              <a:ea typeface="Verdana" panose="020B0604030504040204" pitchFamily="34" charset="0"/>
            </a:rPr>
            <a:t>polarized politics</a:t>
          </a:r>
          <a:r>
            <a:rPr lang="en-US" sz="1300" b="0" i="1" u="none" baseline="0">
              <a:ln w="19050">
                <a:solidFill>
                  <a:schemeClr val="tx1">
                    <a:lumMod val="85000"/>
                    <a:lumOff val="15000"/>
                  </a:schemeClr>
                </a:solidFill>
              </a:ln>
              <a:latin typeface="Verdana" panose="020B0604030504040204" pitchFamily="34" charset="0"/>
              <a:ea typeface="Verdana" panose="020B0604030504040204" pitchFamily="34" charset="0"/>
            </a:rPr>
            <a:t> </a:t>
          </a:r>
          <a:r>
            <a:rPr lang="en-US" sz="1300" baseline="0">
              <a:latin typeface="Verdana" panose="020B0604030504040204" pitchFamily="34" charset="0"/>
              <a:ea typeface="Verdana" panose="020B0604030504040204" pitchFamily="34" charset="0"/>
            </a:rPr>
            <a:t>by addressing the needs behind politics.</a:t>
          </a:r>
          <a:endParaRPr lang="en-US" sz="1300" baseline="0"/>
        </a:p>
      </xdr:txBody>
    </xdr:sp>
    <xdr:clientData/>
  </xdr:twoCellAnchor>
  <xdr:twoCellAnchor>
    <xdr:from>
      <xdr:col>1</xdr:col>
      <xdr:colOff>373380</xdr:colOff>
      <xdr:row>110</xdr:row>
      <xdr:rowOff>198121</xdr:rowOff>
    </xdr:from>
    <xdr:to>
      <xdr:col>11</xdr:col>
      <xdr:colOff>426720</xdr:colOff>
      <xdr:row>112</xdr:row>
      <xdr:rowOff>198121</xdr:rowOff>
    </xdr:to>
    <xdr:sp macro="" textlink="">
      <xdr:nvSpPr>
        <xdr:cNvPr id="267" name="TextBox 266">
          <a:extLst>
            <a:ext uri="{FF2B5EF4-FFF2-40B4-BE49-F238E27FC236}">
              <a16:creationId xmlns:a16="http://schemas.microsoft.com/office/drawing/2014/main" id="{00000000-0008-0000-0200-00000B010000}"/>
            </a:ext>
          </a:extLst>
        </xdr:cNvPr>
        <xdr:cNvSpPr txBox="1"/>
      </xdr:nvSpPr>
      <xdr:spPr>
        <a:xfrm>
          <a:off x="495300" y="14851381"/>
          <a:ext cx="500634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200" b="1">
              <a:latin typeface="Verdana" panose="020B0604030504040204" pitchFamily="34" charset="0"/>
              <a:ea typeface="Verdana" panose="020B0604030504040204" pitchFamily="34" charset="0"/>
            </a:rPr>
            <a:t>You can't force anyone's needs with political reasoning</a:t>
          </a:r>
          <a:r>
            <a:rPr lang="en-US" sz="1200" b="0">
              <a:latin typeface="Verdana" panose="020B0604030504040204" pitchFamily="34" charset="0"/>
              <a:ea typeface="Verdana" panose="020B0604030504040204" pitchFamily="34" charset="0"/>
            </a:rPr>
            <a:t>.</a:t>
          </a:r>
          <a:r>
            <a:rPr lang="en-US" sz="1200" b="1">
              <a:latin typeface="Verdana" panose="020B0604030504040204" pitchFamily="34" charset="0"/>
              <a:ea typeface="Verdana" panose="020B0604030504040204" pitchFamily="34" charset="0"/>
            </a:rPr>
            <a:t> Their needs, as yours, force</a:t>
          </a:r>
          <a:r>
            <a:rPr lang="en-US" sz="1200" b="1" baseline="0">
              <a:latin typeface="Verdana" panose="020B0604030504040204" pitchFamily="34" charset="0"/>
              <a:ea typeface="Verdana" panose="020B0604030504040204" pitchFamily="34" charset="0"/>
            </a:rPr>
            <a:t> their own political reasons</a:t>
          </a:r>
          <a:r>
            <a:rPr lang="en-US" sz="1200">
              <a:latin typeface="Verdana" panose="020B0604030504040204" pitchFamily="34" charset="0"/>
              <a:ea typeface="Verdana" panose="020B0604030504040204" pitchFamily="34" charset="0"/>
            </a:rPr>
            <a:t>.</a:t>
          </a:r>
          <a:endParaRPr lang="en-US" sz="1100" baseline="0"/>
        </a:p>
      </xdr:txBody>
    </xdr:sp>
    <xdr:clientData/>
  </xdr:twoCellAnchor>
  <xdr:twoCellAnchor>
    <xdr:from>
      <xdr:col>1</xdr:col>
      <xdr:colOff>20244</xdr:colOff>
      <xdr:row>112</xdr:row>
      <xdr:rowOff>222618</xdr:rowOff>
    </xdr:from>
    <xdr:to>
      <xdr:col>13</xdr:col>
      <xdr:colOff>20244</xdr:colOff>
      <xdr:row>118</xdr:row>
      <xdr:rowOff>167640</xdr:rowOff>
    </xdr:to>
    <xdr:sp macro="" textlink="">
      <xdr:nvSpPr>
        <xdr:cNvPr id="448" name="You believe whatever serves your needs.">
          <a:extLst>
            <a:ext uri="{FF2B5EF4-FFF2-40B4-BE49-F238E27FC236}">
              <a16:creationId xmlns:a16="http://schemas.microsoft.com/office/drawing/2014/main" id="{00000000-0008-0000-0200-0000C0010000}"/>
            </a:ext>
          </a:extLst>
        </xdr:cNvPr>
        <xdr:cNvSpPr txBox="1">
          <a:spLocks/>
        </xdr:cNvSpPr>
      </xdr:nvSpPr>
      <xdr:spPr>
        <a:xfrm>
          <a:off x="142164" y="15378798"/>
          <a:ext cx="5943600" cy="1453782"/>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200"/>
            </a:lnSpc>
            <a:buNone/>
          </a:pPr>
          <a:r>
            <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According to anankelogy, we all share the same </a:t>
          </a:r>
          <a:r>
            <a:rPr lang="en-US" sz="1200" b="0" i="1"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core-needs</a:t>
          </a:r>
          <a:r>
            <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 We experience the same optimal range of body temperature. The same optimal range of water in our system. The same need for love, for acceptance, for belonging. How we get these</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diverges. </a:t>
          </a:r>
        </a:p>
        <a:p>
          <a:pPr marL="0" indent="0" algn="l">
            <a:lnSpc>
              <a:spcPts val="1200"/>
            </a:lnSpc>
            <a:buNone/>
          </a:pPr>
          <a:endPar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ts val="1200"/>
            </a:lnSpc>
            <a:buNone/>
          </a:pP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Politics can address this divergence. Politics cannot eliminate the needs themselves.</a:t>
          </a:r>
        </a:p>
        <a:p>
          <a:pPr marL="0" indent="0" algn="l">
            <a:lnSpc>
              <a:spcPts val="1200"/>
            </a:lnSpc>
            <a:buNone/>
          </a:pPr>
          <a:endPar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ts val="1200"/>
            </a:lnSpc>
            <a:buNone/>
          </a:pP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Anankelogy distinguishes between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core-needs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and less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resource-needs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to ease those core-needs, even less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access-needs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to get such resources, and </a:t>
          </a:r>
          <a:r>
            <a:rPr lang="en-US" sz="1200" b="0"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least shared </a:t>
          </a:r>
          <a:r>
            <a:rPr lang="en-US" sz="1200" b="0" i="1"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psychosocial-needs</a:t>
          </a:r>
          <a:r>
            <a:rPr lang="en-US" sz="1200" b="0"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for who is to access such resources to ease core-needs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t>
          </a:r>
          <a:endPar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22860</xdr:colOff>
      <xdr:row>108</xdr:row>
      <xdr:rowOff>45720</xdr:rowOff>
    </xdr:from>
    <xdr:to>
      <xdr:col>13</xdr:col>
      <xdr:colOff>114300</xdr:colOff>
      <xdr:row>110</xdr:row>
      <xdr:rowOff>182880</xdr:rowOff>
    </xdr:to>
    <xdr:sp macro="" textlink="">
      <xdr:nvSpPr>
        <xdr:cNvPr id="450" name="You believe whatever serves your needs.">
          <a:extLst>
            <a:ext uri="{FF2B5EF4-FFF2-40B4-BE49-F238E27FC236}">
              <a16:creationId xmlns:a16="http://schemas.microsoft.com/office/drawing/2014/main" id="{00000000-0008-0000-0200-0000C2010000}"/>
            </a:ext>
          </a:extLst>
        </xdr:cNvPr>
        <xdr:cNvSpPr txBox="1">
          <a:spLocks/>
        </xdr:cNvSpPr>
      </xdr:nvSpPr>
      <xdr:spPr>
        <a:xfrm>
          <a:off x="144780" y="14196060"/>
          <a:ext cx="603504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According to anankelogy, there is no good nor bad except for need. Morality is code for need. Good politics for you fits your needs.</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If it threatens the needs of others, then it's bad politics for them. No amount of political debating can change each other's needs.</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93</xdr:row>
      <xdr:rowOff>281941</xdr:rowOff>
    </xdr:from>
    <xdr:to>
      <xdr:col>13</xdr:col>
      <xdr:colOff>15240</xdr:colOff>
      <xdr:row>95</xdr:row>
      <xdr:rowOff>198121</xdr:rowOff>
    </xdr:to>
    <xdr:sp macro="" textlink="">
      <xdr:nvSpPr>
        <xdr:cNvPr id="570" name="TextBox 569">
          <a:extLst>
            <a:ext uri="{FF2B5EF4-FFF2-40B4-BE49-F238E27FC236}">
              <a16:creationId xmlns:a16="http://schemas.microsoft.com/office/drawing/2014/main" id="{00000000-0008-0000-0200-00003A020000}"/>
            </a:ext>
          </a:extLst>
        </xdr:cNvPr>
        <xdr:cNvSpPr txBox="1"/>
      </xdr:nvSpPr>
      <xdr:spPr>
        <a:xfrm>
          <a:off x="45720" y="10271761"/>
          <a:ext cx="6035040" cy="678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b="0" i="1">
              <a:ln>
                <a:solidFill>
                  <a:schemeClr val="tx1"/>
                </a:solidFill>
              </a:ln>
              <a:latin typeface="Tahoma" panose="020B0604030504040204" pitchFamily="34" charset="0"/>
              <a:ea typeface="Tahoma" panose="020B0604030504040204" pitchFamily="34" charset="0"/>
              <a:cs typeface="Tahoma" panose="020B0604030504040204" pitchFamily="34" charset="0"/>
            </a:rPr>
            <a:t>Anankelogy</a:t>
          </a:r>
          <a:r>
            <a:rPr lang="en-US" sz="1200">
              <a:latin typeface="Tahoma" panose="020B0604030504040204" pitchFamily="34" charset="0"/>
              <a:ea typeface="Tahoma" panose="020B0604030504040204" pitchFamily="34" charset="0"/>
              <a:cs typeface="Tahoma" panose="020B0604030504040204" pitchFamily="34" charset="0"/>
            </a:rPr>
            <a:t> (the study of need) shines a fresh light on politics. Until we look through </a:t>
          </a:r>
          <a:r>
            <a:rPr lang="en-US" sz="1200" spc="10" baseline="0">
              <a:latin typeface="Tahoma" panose="020B0604030504040204" pitchFamily="34" charset="0"/>
              <a:ea typeface="Tahoma" panose="020B0604030504040204" pitchFamily="34" charset="0"/>
              <a:cs typeface="Tahoma" panose="020B0604030504040204" pitchFamily="34" charset="0"/>
            </a:rPr>
            <a:t>the lens of how politics exists to serve needs, we miss its most basic point: Politics </a:t>
          </a:r>
          <a:r>
            <a:rPr lang="en-US" sz="1200" spc="-10" baseline="0">
              <a:latin typeface="Tahoma" panose="020B0604030504040204" pitchFamily="34" charset="0"/>
              <a:ea typeface="Tahoma" panose="020B0604030504040204" pitchFamily="34" charset="0"/>
              <a:cs typeface="Tahoma" panose="020B0604030504040204" pitchFamily="34" charset="0"/>
            </a:rPr>
            <a:t>exist to express needs. Apart from needs to express, there is no such thing as politics</a:t>
          </a:r>
          <a:r>
            <a:rPr lang="en-US" sz="1200">
              <a:latin typeface="Tahoma" panose="020B0604030504040204" pitchFamily="34" charset="0"/>
              <a:ea typeface="Tahoma" panose="020B0604030504040204" pitchFamily="34" charset="0"/>
              <a:cs typeface="Tahoma" panose="020B0604030504040204" pitchFamily="34" charset="0"/>
            </a:rPr>
            <a:t>. </a:t>
          </a:r>
          <a:endParaRPr lang="en-US" sz="11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38100</xdr:colOff>
      <xdr:row>95</xdr:row>
      <xdr:rowOff>198121</xdr:rowOff>
    </xdr:from>
    <xdr:to>
      <xdr:col>13</xdr:col>
      <xdr:colOff>7620</xdr:colOff>
      <xdr:row>97</xdr:row>
      <xdr:rowOff>160020</xdr:rowOff>
    </xdr:to>
    <xdr:sp macro="" textlink="">
      <xdr:nvSpPr>
        <xdr:cNvPr id="576" name="TextBox 575">
          <a:extLst>
            <a:ext uri="{FF2B5EF4-FFF2-40B4-BE49-F238E27FC236}">
              <a16:creationId xmlns:a16="http://schemas.microsoft.com/office/drawing/2014/main" id="{00000000-0008-0000-0200-000040020000}"/>
            </a:ext>
          </a:extLst>
        </xdr:cNvPr>
        <xdr:cNvSpPr txBox="1"/>
      </xdr:nvSpPr>
      <xdr:spPr>
        <a:xfrm>
          <a:off x="38100" y="10949941"/>
          <a:ext cx="6035040" cy="5181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a:solidFill>
                <a:schemeClr val="dk1"/>
              </a:solidFill>
              <a:latin typeface="Tahoma" panose="020B0604030504040204" pitchFamily="34" charset="0"/>
              <a:ea typeface="Tahoma" panose="020B0604030504040204" pitchFamily="34" charset="0"/>
              <a:cs typeface="Tahoma" panose="020B0604030504040204" pitchFamily="34" charset="0"/>
            </a:rPr>
            <a:t>Anankelogy defines politics as </a:t>
          </a:r>
        </a:p>
      </xdr:txBody>
    </xdr:sp>
    <xdr:clientData/>
  </xdr:twoCellAnchor>
  <xdr:twoCellAnchor>
    <xdr:from>
      <xdr:col>0</xdr:col>
      <xdr:colOff>106680</xdr:colOff>
      <xdr:row>105</xdr:row>
      <xdr:rowOff>76200</xdr:rowOff>
    </xdr:from>
    <xdr:to>
      <xdr:col>12</xdr:col>
      <xdr:colOff>480060</xdr:colOff>
      <xdr:row>107</xdr:row>
      <xdr:rowOff>213360</xdr:rowOff>
    </xdr:to>
    <xdr:sp macro="" textlink="">
      <xdr:nvSpPr>
        <xdr:cNvPr id="580" name="TextBox green: Until you understand...">
          <a:extLst>
            <a:ext uri="{FF2B5EF4-FFF2-40B4-BE49-F238E27FC236}">
              <a16:creationId xmlns:a16="http://schemas.microsoft.com/office/drawing/2014/main" id="{00000000-0008-0000-0200-000044020000}"/>
            </a:ext>
          </a:extLst>
        </xdr:cNvPr>
        <xdr:cNvSpPr txBox="1"/>
      </xdr:nvSpPr>
      <xdr:spPr>
        <a:xfrm>
          <a:off x="106680" y="13472160"/>
          <a:ext cx="5943600" cy="640080"/>
        </a:xfrm>
        <a:prstGeom prst="rect">
          <a:avLst/>
        </a:prstGeom>
        <a:solidFill>
          <a:srgbClr val="5AFFA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182880" tIns="0" rIns="182880" bIns="0" rtlCol="0" anchor="ctr"/>
        <a:lstStyle/>
        <a:p>
          <a:pPr algn="ctr"/>
          <a:r>
            <a:rPr lang="en-US" sz="1600" b="1" baseline="0">
              <a:solidFill>
                <a:schemeClr val="tx1">
                  <a:lumMod val="75000"/>
                  <a:lumOff val="25000"/>
                </a:schemeClr>
              </a:solidFill>
              <a:latin typeface="Verdana" panose="020B0604030504040204" pitchFamily="34" charset="0"/>
              <a:ea typeface="Verdana" panose="020B0604030504040204" pitchFamily="34" charset="0"/>
            </a:rPr>
            <a:t>Until we understand our needs behind </a:t>
          </a:r>
          <a:r>
            <a:rPr lang="en-US" sz="1600" b="1" baseline="0">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rPr>
            <a:t>politics</a:t>
          </a:r>
          <a:r>
            <a:rPr lang="en-US" sz="1600" b="1" baseline="0">
              <a:latin typeface="Verdana" panose="020B0604030504040204" pitchFamily="34" charset="0"/>
              <a:ea typeface="Verdana" panose="020B0604030504040204" pitchFamily="34" charset="0"/>
            </a:rPr>
            <a:t>, </a:t>
          </a:r>
          <a:r>
            <a:rPr lang="en-US" sz="1600" b="1" baseline="0">
              <a:solidFill>
                <a:schemeClr val="tx1">
                  <a:lumMod val="75000"/>
                  <a:lumOff val="25000"/>
                </a:schemeClr>
              </a:solidFill>
              <a:latin typeface="Verdana" panose="020B0604030504040204" pitchFamily="34" charset="0"/>
              <a:ea typeface="Verdana" panose="020B0604030504040204" pitchFamily="34" charset="0"/>
            </a:rPr>
            <a:t>we cannot really understand our </a:t>
          </a:r>
          <a:r>
            <a:rPr lang="en-US" sz="1600" b="1" baseline="0">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rPr>
            <a:t>politics</a:t>
          </a:r>
          <a:r>
            <a:rPr lang="en-US" sz="1600" b="1" baseline="0">
              <a:latin typeface="Verdana" panose="020B0604030504040204" pitchFamily="34" charset="0"/>
              <a:ea typeface="Verdana" panose="020B0604030504040204" pitchFamily="34" charset="0"/>
            </a:rPr>
            <a:t>.</a:t>
          </a:r>
          <a:endParaRPr lang="en-US" sz="1600" b="1" baseline="0"/>
        </a:p>
      </xdr:txBody>
    </xdr:sp>
    <xdr:clientData/>
  </xdr:twoCellAnchor>
  <xdr:twoCellAnchor>
    <xdr:from>
      <xdr:col>0</xdr:col>
      <xdr:colOff>0</xdr:colOff>
      <xdr:row>320</xdr:row>
      <xdr:rowOff>68580</xdr:rowOff>
    </xdr:from>
    <xdr:to>
      <xdr:col>13</xdr:col>
      <xdr:colOff>11635</xdr:colOff>
      <xdr:row>368</xdr:row>
      <xdr:rowOff>68580</xdr:rowOff>
    </xdr:to>
    <xdr:grpSp>
      <xdr:nvGrpSpPr>
        <xdr:cNvPr id="930" name="Group 929">
          <a:extLst>
            <a:ext uri="{FF2B5EF4-FFF2-40B4-BE49-F238E27FC236}">
              <a16:creationId xmlns:a16="http://schemas.microsoft.com/office/drawing/2014/main" id="{00000000-0008-0000-0200-0000A2030000}"/>
            </a:ext>
          </a:extLst>
        </xdr:cNvPr>
        <xdr:cNvGrpSpPr/>
      </xdr:nvGrpSpPr>
      <xdr:grpSpPr>
        <a:xfrm>
          <a:off x="0" y="68442840"/>
          <a:ext cx="6160975" cy="8618220"/>
          <a:chOff x="0" y="59740800"/>
          <a:chExt cx="6077155" cy="8618220"/>
        </a:xfrm>
      </xdr:grpSpPr>
      <xdr:sp macro="" textlink="">
        <xdr:nvSpPr>
          <xdr:cNvPr id="343" name="You believe whatever serves your needs.">
            <a:extLst>
              <a:ext uri="{FF2B5EF4-FFF2-40B4-BE49-F238E27FC236}">
                <a16:creationId xmlns:a16="http://schemas.microsoft.com/office/drawing/2014/main" id="{00000000-0008-0000-0200-000057010000}"/>
              </a:ext>
            </a:extLst>
          </xdr:cNvPr>
          <xdr:cNvSpPr txBox="1">
            <a:spLocks/>
          </xdr:cNvSpPr>
        </xdr:nvSpPr>
        <xdr:spPr>
          <a:xfrm>
            <a:off x="381001" y="63771780"/>
            <a:ext cx="54864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Why this clashing</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set of priorities</a:t>
            </a: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180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344" name="L PO">
            <a:extLst>
              <a:ext uri="{FF2B5EF4-FFF2-40B4-BE49-F238E27FC236}">
                <a16:creationId xmlns:a16="http://schemas.microsoft.com/office/drawing/2014/main" id="{00000000-0008-0000-0200-000058010000}"/>
              </a:ext>
            </a:extLst>
          </xdr:cNvPr>
          <xdr:cNvSpPr txBox="1">
            <a:spLocks/>
          </xdr:cNvSpPr>
        </xdr:nvSpPr>
        <xdr:spPr>
          <a:xfrm>
            <a:off x="0" y="64853820"/>
            <a:ext cx="2377440" cy="6400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spcBef>
                <a:spcPts val="0"/>
              </a:spcBef>
              <a:buNone/>
            </a:pP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more your </a:t>
            </a:r>
            <a:r>
              <a:rPr lang="en-US" sz="1200" b="1" spc="-40">
                <a:ln>
                  <a:solidFill>
                    <a:srgbClr val="C8FFE1"/>
                  </a:solidFill>
                </a:ln>
                <a:solidFill>
                  <a:srgbClr val="C8FFE1"/>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spc="-40">
                <a:ln>
                  <a:solidFill>
                    <a:schemeClr val="accent6">
                      <a:lumMod val="20000"/>
                      <a:lumOff val="80000"/>
                    </a:schemeClr>
                  </a:solidFill>
                </a:ln>
                <a:solidFill>
                  <a:schemeClr val="accent6">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resolve than your </a:t>
            </a:r>
            <a:r>
              <a:rPr lang="en-US" sz="1200" b="1"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more </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orient to a</a:t>
            </a:r>
            <a:r>
              <a:rPr lang="en-US" sz="1200"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b="1" spc="-40">
                <a:ln>
                  <a:solidFill>
                    <a:srgbClr val="CDF0FF"/>
                  </a:solidFill>
                </a:ln>
                <a:solidFill>
                  <a:srgbClr val="CDF0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WIDE-focus</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spc="9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gravitate politically</a:t>
            </a:r>
            <a:r>
              <a:rPr lang="en-US" sz="1200"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b="1" spc="-40">
                <a:ln>
                  <a:solidFill>
                    <a:srgbClr val="CDF0FF"/>
                  </a:solidFill>
                </a:ln>
                <a:solidFill>
                  <a:srgbClr val="CDF0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leftward</a:t>
            </a:r>
            <a:r>
              <a:rPr lang="en-US" sz="1200" spc="-40">
                <a:ln>
                  <a:solidFill>
                    <a:schemeClr val="accent4">
                      <a:lumMod val="20000"/>
                      <a:lumOff val="80000"/>
                    </a:schemeClr>
                  </a:solidFill>
                </a:ln>
                <a:solidFill>
                  <a:schemeClr val="accent4">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5" name="R PO">
            <a:extLst>
              <a:ext uri="{FF2B5EF4-FFF2-40B4-BE49-F238E27FC236}">
                <a16:creationId xmlns:a16="http://schemas.microsoft.com/office/drawing/2014/main" id="{00000000-0008-0000-0200-000059010000}"/>
              </a:ext>
            </a:extLst>
          </xdr:cNvPr>
          <xdr:cNvSpPr txBox="1">
            <a:spLocks/>
          </xdr:cNvSpPr>
        </xdr:nvSpPr>
        <xdr:spPr>
          <a:xfrm>
            <a:off x="3699715" y="64854748"/>
            <a:ext cx="2377440" cy="6400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nSpc>
                <a:spcPct val="100000"/>
              </a:lnSpc>
              <a:spcBef>
                <a:spcPts val="0"/>
              </a:spcBef>
              <a:buNone/>
            </a:pPr>
            <a:r>
              <a:rPr lang="en-US" sz="1200" spc="-6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more your </a:t>
            </a:r>
            <a:r>
              <a:rPr lang="en-US" sz="1200" b="1" spc="-60">
                <a:ln>
                  <a:solidFill>
                    <a:srgbClr val="F0CDFF"/>
                  </a:solidFill>
                </a:ln>
                <a:solidFill>
                  <a:srgbClr val="F0CDFF"/>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spc="-60">
                <a:ln>
                  <a:solidFill>
                    <a:srgbClr val="F0CDFF"/>
                  </a:solidFill>
                </a:ln>
                <a:solidFill>
                  <a:srgbClr val="F0CDFF"/>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spc="-6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resolve </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than your </a:t>
            </a:r>
            <a:r>
              <a:rPr lang="en-US" sz="1200" b="1" spc="20">
                <a:ln>
                  <a:solidFill>
                    <a:srgbClr val="C8FFE1"/>
                  </a:solidFill>
                </a:ln>
                <a:solidFill>
                  <a:srgbClr val="C8FFE1"/>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more </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 orient to a </a:t>
            </a:r>
            <a:r>
              <a:rPr lang="en-US" sz="1200" b="1" spc="10">
                <a:ln>
                  <a:solidFill>
                    <a:srgbClr val="FF9999"/>
                  </a:solidFill>
                </a:ln>
                <a:solidFill>
                  <a:srgbClr val="FF9999"/>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DEEP-focus</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spc="0" baseline="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gravitate politically </a:t>
            </a:r>
            <a:r>
              <a:rPr lang="en-US" sz="1200" b="1" spc="0" baseline="0">
                <a:ln>
                  <a:solidFill>
                    <a:srgbClr val="FF9999"/>
                  </a:solidFill>
                </a:ln>
                <a:solidFill>
                  <a:srgbClr val="FF9999"/>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rightward</a:t>
            </a:r>
            <a:r>
              <a:rPr lang="en-US" sz="1200" spc="0" baseline="0">
                <a:ln>
                  <a:solidFill>
                    <a:schemeClr val="accent4">
                      <a:lumMod val="20000"/>
                      <a:lumOff val="80000"/>
                    </a:schemeClr>
                  </a:solidFill>
                </a:ln>
                <a:solidFill>
                  <a:schemeClr val="accent4">
                    <a:lumMod val="20000"/>
                    <a:lumOff val="80000"/>
                  </a:schemeClr>
                </a:solidFill>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6" name="Political orientation is the outwrdly...">
            <a:extLst>
              <a:ext uri="{FF2B5EF4-FFF2-40B4-BE49-F238E27FC236}">
                <a16:creationId xmlns:a16="http://schemas.microsoft.com/office/drawing/2014/main" id="{00000000-0008-0000-0200-00005A010000}"/>
              </a:ext>
            </a:extLst>
          </xdr:cNvPr>
          <xdr:cNvSpPr txBox="1">
            <a:spLocks/>
          </xdr:cNvSpPr>
        </xdr:nvSpPr>
        <xdr:spPr>
          <a:xfrm>
            <a:off x="352268" y="60062822"/>
            <a:ext cx="5486400" cy="623690"/>
          </a:xfrm>
          <a:prstGeom prst="rect">
            <a:avLst/>
          </a:prstGeom>
          <a:ln w="28575">
            <a:noFill/>
          </a:ln>
          <a:effectLst/>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600"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Your guarded</a:t>
            </a:r>
            <a:r>
              <a:rPr lang="en-US" sz="1600" b="1"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a:t>
            </a:r>
            <a:r>
              <a:rPr lang="en-US" sz="1600" b="1" spc="100">
                <a:solidFill>
                  <a:srgbClr val="FBA9FD"/>
                </a:solidFill>
                <a:effectLst>
                  <a:glow rad="50800">
                    <a:srgbClr val="7030A0"/>
                  </a:glow>
                  <a:outerShdw blurRad="38100" dist="38100" dir="2700000" algn="tl">
                    <a:srgbClr val="000000">
                      <a:alpha val="43137"/>
                    </a:srgbClr>
                  </a:outerShdw>
                </a:effectLst>
                <a:latin typeface="Tahoma" panose="020B0604030504040204" pitchFamily="34" charset="0"/>
                <a:ea typeface="Tahoma" panose="020B0604030504040204" pitchFamily="34" charset="0"/>
                <a:cs typeface="Tahoma" panose="020B0604030504040204" pitchFamily="34" charset="0"/>
              </a:rPr>
              <a:t>political views </a:t>
            </a:r>
            <a:r>
              <a:rPr lang="en-US" sz="1600" i="1"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outwardly</a:t>
            </a:r>
            <a:r>
              <a:rPr lang="en-US" sz="1600"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express </a:t>
            </a:r>
            <a:br>
              <a:rPr lang="en-US" sz="1600" spc="100">
                <a:solidFill>
                  <a:srgbClr val="FBA9FD"/>
                </a:solidFill>
                <a:effectLst>
                  <a:glow rad="381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br>
            <a:r>
              <a:rPr lang="en-US" sz="1600"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your </a:t>
            </a:r>
            <a:r>
              <a:rPr lang="en-US" sz="1600" i="1"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inwardly</a:t>
            </a:r>
            <a:r>
              <a:rPr lang="en-US" sz="1600"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needy </a:t>
            </a:r>
            <a:r>
              <a:rPr lang="en-US" sz="1600" b="1" spc="100">
                <a:ln>
                  <a:solidFill>
                    <a:srgbClr val="B4FFB4"/>
                  </a:solidFill>
                </a:ln>
                <a:solidFill>
                  <a:srgbClr val="B4FFB4"/>
                </a:solidFill>
                <a:effectLst>
                  <a:glow rad="50800">
                    <a:schemeClr val="accent6">
                      <a:lumMod val="50000"/>
                    </a:schemeClr>
                  </a:glow>
                  <a:outerShdw blurRad="12700" dist="50800" dir="2700000" algn="tl">
                    <a:schemeClr val="tx1">
                      <a:alpha val="43000"/>
                    </a:schemeClr>
                  </a:outerShdw>
                </a:effectLst>
                <a:latin typeface="Tahoma" panose="020B0604030504040204" pitchFamily="34" charset="0"/>
                <a:ea typeface="Tahoma" panose="020B0604030504040204" pitchFamily="34" charset="0"/>
                <a:cs typeface="Tahoma" panose="020B0604030504040204" pitchFamily="34" charset="0"/>
              </a:rPr>
              <a:t>psychosocial orientation</a:t>
            </a:r>
            <a:r>
              <a:rPr lang="en-US" sz="1600" spc="-40">
                <a:solidFill>
                  <a:srgbClr val="FBA9FD"/>
                </a:solidFill>
                <a:effectLst>
                  <a:glow rad="762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7" name="Or?">
            <a:extLst>
              <a:ext uri="{FF2B5EF4-FFF2-40B4-BE49-F238E27FC236}">
                <a16:creationId xmlns:a16="http://schemas.microsoft.com/office/drawing/2014/main" id="{00000000-0008-0000-0200-00005B010000}"/>
              </a:ext>
            </a:extLst>
          </xdr:cNvPr>
          <xdr:cNvSpPr txBox="1">
            <a:spLocks/>
          </xdr:cNvSpPr>
        </xdr:nvSpPr>
        <xdr:spPr>
          <a:xfrm>
            <a:off x="312421" y="59740800"/>
            <a:ext cx="5486400"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E600E6"/>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Now let’s </a:t>
            </a:r>
            <a:r>
              <a:rPr lang="en-US" sz="1500" b="1" spc="-60">
                <a:ln>
                  <a:solidFill>
                    <a:srgbClr val="A564D2"/>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harmonize politics </a:t>
            </a:r>
            <a:r>
              <a:rPr lang="en-US" sz="1500" spc="-40">
                <a:ln>
                  <a:solidFill>
                    <a:srgbClr val="E600E6"/>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to</a:t>
            </a:r>
            <a:r>
              <a:rPr lang="en-US" sz="1500" spc="-40">
                <a:ln>
                  <a:solidFill>
                    <a:srgbClr val="00B050"/>
                  </a:solidFill>
                </a:ln>
                <a:solidFill>
                  <a:srgbClr val="99FF66"/>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500" spc="-40">
                <a:ln>
                  <a:solidFill>
                    <a:srgbClr val="00B050"/>
                  </a:solidFill>
                </a:ln>
                <a:solidFill>
                  <a:srgbClr val="4BFF4B"/>
                </a:solidFill>
                <a:effectLst>
                  <a:glow rad="38100">
                    <a:schemeClr val="accent6">
                      <a:lumMod val="50000"/>
                    </a:scheme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each other’s </a:t>
            </a:r>
            <a:r>
              <a:rPr lang="en-US" sz="1500" b="1">
                <a:ln>
                  <a:solidFill>
                    <a:srgbClr val="00B050"/>
                  </a:solidFill>
                </a:ln>
                <a:solidFill>
                  <a:srgbClr val="4BFF4B"/>
                </a:solidFill>
                <a:effectLst>
                  <a:glow rad="38100">
                    <a:schemeClr val="accent6">
                      <a:lumMod val="50000"/>
                    </a:scheme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inflexible needs</a:t>
            </a:r>
            <a:r>
              <a:rPr lang="en-US" sz="1500" spc="-40">
                <a:ln>
                  <a:solidFill>
                    <a:schemeClr val="tx1"/>
                  </a:solidFill>
                </a:ln>
                <a:solidFill>
                  <a:sysClr val="windowText" lastClr="000000"/>
                </a:solidFill>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8" name="end hate">
            <a:extLst>
              <a:ext uri="{FF2B5EF4-FFF2-40B4-BE49-F238E27FC236}">
                <a16:creationId xmlns:a16="http://schemas.microsoft.com/office/drawing/2014/main" id="{00000000-0008-0000-0200-00005C010000}"/>
              </a:ext>
            </a:extLst>
          </xdr:cNvPr>
          <xdr:cNvSpPr txBox="1">
            <a:spLocks/>
          </xdr:cNvSpPr>
        </xdr:nvSpPr>
        <xdr:spPr>
          <a:xfrm>
            <a:off x="1089461" y="60804718"/>
            <a:ext cx="4054040" cy="50580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spc="30">
                <a:ln>
                  <a:solidFill>
                    <a:srgbClr val="3C195A"/>
                  </a:solidFill>
                </a:ln>
                <a:solidFill>
                  <a:srgbClr val="732D7F"/>
                </a:solidFill>
                <a:latin typeface="Tahoma" panose="020B0604030504040204" pitchFamily="34" charset="0"/>
                <a:ea typeface="Tahoma" panose="020B0604030504040204" pitchFamily="34" charset="0"/>
                <a:cs typeface="Tahoma" panose="020B0604030504040204" pitchFamily="34" charset="0"/>
              </a:rPr>
              <a:t>Let’s stop hating on each other for what we cannot easily change. </a:t>
            </a:r>
          </a:p>
        </xdr:txBody>
      </xdr:sp>
      <xdr:sp macro="" textlink="">
        <xdr:nvSpPr>
          <xdr:cNvPr id="2722" name="You believe whatever serves your needs.">
            <a:extLst>
              <a:ext uri="{FF2B5EF4-FFF2-40B4-BE49-F238E27FC236}">
                <a16:creationId xmlns:a16="http://schemas.microsoft.com/office/drawing/2014/main" id="{00000000-0008-0000-0200-0000A20A0000}"/>
              </a:ext>
            </a:extLst>
          </xdr:cNvPr>
          <xdr:cNvSpPr txBox="1">
            <a:spLocks/>
          </xdr:cNvSpPr>
        </xdr:nvSpPr>
        <xdr:spPr>
          <a:xfrm>
            <a:off x="1163222" y="61508640"/>
            <a:ext cx="3919105" cy="73151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400" b="1" spc="-3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Needs come first</a:t>
            </a:r>
            <a:r>
              <a:rPr lang="en-US" sz="1400" b="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You politically believe what serves your needs. And no one </a:t>
            </a:r>
            <a:r>
              <a:rPr lang="en-US" sz="1400" i="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chooses</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their needs. Your different needs </a:t>
            </a:r>
            <a:r>
              <a:rPr lang="en-US" sz="1400" b="1" i="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orient</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you to different views</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rPr>
              <a:t>. </a:t>
            </a:r>
          </a:p>
        </xdr:txBody>
      </xdr:sp>
      <xdr:sp macro="" textlink="">
        <xdr:nvSpPr>
          <xdr:cNvPr id="1551" name="You believe whatever serves your needs.">
            <a:extLst>
              <a:ext uri="{FF2B5EF4-FFF2-40B4-BE49-F238E27FC236}">
                <a16:creationId xmlns:a16="http://schemas.microsoft.com/office/drawing/2014/main" id="{00000000-0008-0000-0200-00000F060000}"/>
              </a:ext>
            </a:extLst>
          </xdr:cNvPr>
          <xdr:cNvSpPr txBox="1">
            <a:spLocks/>
          </xdr:cNvSpPr>
        </xdr:nvSpPr>
        <xdr:spPr>
          <a:xfrm>
            <a:off x="106680" y="68084700"/>
            <a:ext cx="59436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Over</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time, your </a:t>
            </a:r>
            <a:r>
              <a:rPr lang="en-US" sz="1800" b="1" spc="0" baseline="0">
                <a:ln>
                  <a:solidFill>
                    <a:srgbClr val="E1FFEB"/>
                  </a:solidFill>
                </a:ln>
                <a:solidFill>
                  <a:srgbClr val="00F587"/>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focus</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crystallizes in an </a:t>
            </a:r>
            <a:r>
              <a:rPr lang="en-US" sz="1800" b="1" spc="0" baseline="0">
                <a:ln>
                  <a:solidFill>
                    <a:schemeClr val="accent6">
                      <a:lumMod val="40000"/>
                      <a:lumOff val="60000"/>
                    </a:schemeClr>
                  </a:solidFill>
                </a:ln>
                <a:solidFill>
                  <a:srgbClr val="CC66FF"/>
                </a:solidFill>
                <a:effectLst>
                  <a:glow rad="25400">
                    <a:srgbClr val="281437"/>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orientation</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a:t>
            </a:r>
            <a:endParaRPr lang="en-US" sz="180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11</xdr:col>
      <xdr:colOff>60960</xdr:colOff>
      <xdr:row>204</xdr:row>
      <xdr:rowOff>53341</xdr:rowOff>
    </xdr:from>
    <xdr:to>
      <xdr:col>13</xdr:col>
      <xdr:colOff>53490</xdr:colOff>
      <xdr:row>207</xdr:row>
      <xdr:rowOff>60960</xdr:rowOff>
    </xdr:to>
    <xdr:sp macro="" textlink="">
      <xdr:nvSpPr>
        <xdr:cNvPr id="634" name="You believe whatever serves your needs.">
          <a:extLst>
            <a:ext uri="{FF2B5EF4-FFF2-40B4-BE49-F238E27FC236}">
              <a16:creationId xmlns:a16="http://schemas.microsoft.com/office/drawing/2014/main" id="{00000000-0008-0000-0200-00007A020000}"/>
            </a:ext>
          </a:extLst>
        </xdr:cNvPr>
        <xdr:cNvSpPr txBox="1">
          <a:spLocks/>
        </xdr:cNvSpPr>
      </xdr:nvSpPr>
      <xdr:spPr>
        <a:xfrm>
          <a:off x="5135880" y="35699701"/>
          <a:ext cx="983130" cy="76199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1" spc="-50">
              <a:solidFill>
                <a:srgbClr val="007332"/>
              </a:solidFill>
              <a:latin typeface="Franklin Gothic Demi" panose="020B0703020102020204" pitchFamily="34" charset="0"/>
              <a:ea typeface="Tahoma" panose="020B0604030504040204" pitchFamily="34" charset="0"/>
              <a:cs typeface="Tahoma" panose="020B0604030504040204" pitchFamily="34" charset="0"/>
            </a:rPr>
            <a:t>I need to focus more on deeper relationships, traditional ways of community and the nation.</a:t>
          </a:r>
        </a:p>
      </xdr:txBody>
    </xdr:sp>
    <xdr:clientData/>
  </xdr:twoCellAnchor>
  <xdr:twoCellAnchor>
    <xdr:from>
      <xdr:col>1</xdr:col>
      <xdr:colOff>0</xdr:colOff>
      <xdr:row>290</xdr:row>
      <xdr:rowOff>91508</xdr:rowOff>
    </xdr:from>
    <xdr:to>
      <xdr:col>12</xdr:col>
      <xdr:colOff>443706</xdr:colOff>
      <xdr:row>316</xdr:row>
      <xdr:rowOff>91440</xdr:rowOff>
    </xdr:to>
    <xdr:grpSp>
      <xdr:nvGrpSpPr>
        <xdr:cNvPr id="31" name="Group 30">
          <a:extLst>
            <a:ext uri="{FF2B5EF4-FFF2-40B4-BE49-F238E27FC236}">
              <a16:creationId xmlns:a16="http://schemas.microsoft.com/office/drawing/2014/main" id="{00000000-0008-0000-0200-00001F000000}"/>
            </a:ext>
          </a:extLst>
        </xdr:cNvPr>
        <xdr:cNvGrpSpPr/>
      </xdr:nvGrpSpPr>
      <xdr:grpSpPr>
        <a:xfrm>
          <a:off x="114300" y="63002228"/>
          <a:ext cx="5975826" cy="4556692"/>
          <a:chOff x="99060" y="46093448"/>
          <a:chExt cx="5899957" cy="4556692"/>
        </a:xfrm>
      </xdr:grpSpPr>
      <xdr:sp macro="" textlink="">
        <xdr:nvSpPr>
          <xdr:cNvPr id="462" name="Government serves best when it serves least.">
            <a:extLst>
              <a:ext uri="{FF2B5EF4-FFF2-40B4-BE49-F238E27FC236}">
                <a16:creationId xmlns:a16="http://schemas.microsoft.com/office/drawing/2014/main" id="{00000000-0008-0000-0200-0000CE010000}"/>
              </a:ext>
            </a:extLst>
          </xdr:cNvPr>
          <xdr:cNvSpPr txBox="1">
            <a:spLocks/>
          </xdr:cNvSpPr>
        </xdr:nvSpPr>
        <xdr:spPr>
          <a:xfrm>
            <a:off x="3238500" y="46101000"/>
            <a:ext cx="2743200" cy="5486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3000" b="1">
                <a:solidFill>
                  <a:srgbClr val="FF3C3C"/>
                </a:solidFill>
                <a:effectLst>
                  <a:outerShdw blurRad="50800" dist="38100" dir="5400000" algn="t" rotWithShape="0">
                    <a:srgbClr val="C00000">
                      <a:alpha val="40000"/>
                    </a:srgbClr>
                  </a:outerShdw>
                </a:effectLst>
                <a:latin typeface="Franklin Gothic Demi" panose="020B0703020102020204" pitchFamily="34" charset="0"/>
                <a:ea typeface="Tahoma" panose="020B0604030504040204" pitchFamily="34" charset="0"/>
                <a:cs typeface="Tahoma" panose="020B0604030504040204" pitchFamily="34" charset="0"/>
              </a:rPr>
              <a:t>If DEEP focused</a:t>
            </a:r>
          </a:p>
        </xdr:txBody>
      </xdr:sp>
      <xdr:sp macro="" textlink="">
        <xdr:nvSpPr>
          <xdr:cNvPr id="463" name="Government exists as a force for good.">
            <a:extLst>
              <a:ext uri="{FF2B5EF4-FFF2-40B4-BE49-F238E27FC236}">
                <a16:creationId xmlns:a16="http://schemas.microsoft.com/office/drawing/2014/main" id="{00000000-0008-0000-0200-0000CF010000}"/>
              </a:ext>
            </a:extLst>
          </xdr:cNvPr>
          <xdr:cNvSpPr txBox="1">
            <a:spLocks/>
          </xdr:cNvSpPr>
        </xdr:nvSpPr>
        <xdr:spPr>
          <a:xfrm>
            <a:off x="99060" y="46093448"/>
            <a:ext cx="2743200" cy="5486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3000" b="1" spc="-50">
                <a:solidFill>
                  <a:srgbClr val="00B0F0"/>
                </a:solidFill>
                <a:effectLst>
                  <a:outerShdw blurRad="50800" dist="38100" dir="5400000" algn="t" rotWithShape="0">
                    <a:srgbClr val="0070C0">
                      <a:alpha val="40000"/>
                    </a:srgbClr>
                  </a:outerShdw>
                </a:effectLst>
                <a:latin typeface="Franklin Gothic Demi" panose="020B0703020102020204" pitchFamily="34" charset="0"/>
                <a:ea typeface="Tahoma" panose="020B0604030504040204" pitchFamily="34" charset="0"/>
                <a:cs typeface="Tahoma" panose="020B0604030504040204" pitchFamily="34" charset="0"/>
              </a:rPr>
              <a:t>If WIDE focused</a:t>
            </a:r>
          </a:p>
        </xdr:txBody>
      </xdr:sp>
      <xdr:sp macro="" textlink="">
        <xdr:nvSpPr>
          <xdr:cNvPr id="622" name="Or?">
            <a:extLst>
              <a:ext uri="{FF2B5EF4-FFF2-40B4-BE49-F238E27FC236}">
                <a16:creationId xmlns:a16="http://schemas.microsoft.com/office/drawing/2014/main" id="{00000000-0008-0000-0200-00006E020000}"/>
              </a:ext>
            </a:extLst>
          </xdr:cNvPr>
          <xdr:cNvSpPr txBox="1">
            <a:spLocks/>
          </xdr:cNvSpPr>
        </xdr:nvSpPr>
        <xdr:spPr>
          <a:xfrm>
            <a:off x="129540" y="47579280"/>
            <a:ext cx="2743200" cy="1143000"/>
          </a:xfrm>
          <a:prstGeom prst="rect">
            <a:avLst/>
          </a:prstGeom>
          <a:solidFill>
            <a:schemeClr val="accent5">
              <a:lumMod val="20000"/>
              <a:lumOff val="80000"/>
            </a:schemeClr>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On</a:t>
            </a:r>
            <a:r>
              <a:rPr lang="en-US" sz="15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the political Left, you see </a:t>
            </a:r>
            <a:r>
              <a:rPr lang="en-US" sz="2000" b="1" spc="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WIDE</a:t>
            </a:r>
            <a:r>
              <a:rPr lang="en-US" sz="2000" spc="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inclusiveness</a:t>
            </a:r>
          </a:p>
          <a:p>
            <a:pPr marL="0" indent="0" algn="ctr">
              <a:buNone/>
            </a:pPr>
            <a:r>
              <a:rPr lang="en-US" sz="15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for those who uniqueness left them historically out in the cold.</a:t>
            </a:r>
            <a:endParaRPr lang="en-US" sz="15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3" name="Or?">
            <a:extLst>
              <a:ext uri="{FF2B5EF4-FFF2-40B4-BE49-F238E27FC236}">
                <a16:creationId xmlns:a16="http://schemas.microsoft.com/office/drawing/2014/main" id="{00000000-0008-0000-0200-00006F020000}"/>
              </a:ext>
            </a:extLst>
          </xdr:cNvPr>
          <xdr:cNvSpPr txBox="1">
            <a:spLocks/>
          </xdr:cNvSpPr>
        </xdr:nvSpPr>
        <xdr:spPr>
          <a:xfrm>
            <a:off x="3223260" y="47586900"/>
            <a:ext cx="2743200" cy="1143000"/>
          </a:xfrm>
          <a:prstGeom prst="rect">
            <a:avLst/>
          </a:prstGeom>
          <a:solidFill>
            <a:srgbClr val="FFCCCC"/>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On</a:t>
            </a:r>
            <a:r>
              <a:rPr lang="en-US" sz="1500" spc="-4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the political Right, you see </a:t>
            </a:r>
            <a:r>
              <a:rPr lang="en-US" sz="2000" b="1" spc="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DEEP</a:t>
            </a:r>
            <a:r>
              <a:rPr lang="en-US" sz="2000" spc="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cohesiveness</a:t>
            </a:r>
          </a:p>
          <a:p>
            <a:pPr marL="0" indent="0" algn="ctr">
              <a:buNone/>
            </a:pPr>
            <a:r>
              <a:rPr lang="en-US" sz="1500" spc="-5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for those with a satisfying tradi-tional relationship with each other.</a:t>
            </a:r>
            <a:endParaRPr lang="en-US" sz="1500" spc="-5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4" name="Or?">
            <a:extLst>
              <a:ext uri="{FF2B5EF4-FFF2-40B4-BE49-F238E27FC236}">
                <a16:creationId xmlns:a16="http://schemas.microsoft.com/office/drawing/2014/main" id="{00000000-0008-0000-0200-000070020000}"/>
              </a:ext>
            </a:extLst>
          </xdr:cNvPr>
          <xdr:cNvSpPr txBox="1">
            <a:spLocks/>
          </xdr:cNvSpPr>
        </xdr:nvSpPr>
        <xdr:spPr>
          <a:xfrm>
            <a:off x="3215640" y="49141380"/>
            <a:ext cx="2743200" cy="335280"/>
          </a:xfrm>
          <a:prstGeom prst="rect">
            <a:avLst/>
          </a:prstGeom>
          <a:solidFill>
            <a:schemeClr val="accent5">
              <a:lumMod val="20000"/>
              <a:lumOff val="80000"/>
            </a:schemeClr>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00B050"/>
                  </a:solidFill>
                </a:ln>
                <a:solidFill>
                  <a:srgbClr val="00B05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400" i="1"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than</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spc="-40">
                <a:ln>
                  <a:solidFill>
                    <a:srgbClr val="A05FCD"/>
                  </a:solidFill>
                </a:ln>
                <a:solidFill>
                  <a:srgbClr val="A05FCD"/>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spc="-4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5" name="Or?">
            <a:extLst>
              <a:ext uri="{FF2B5EF4-FFF2-40B4-BE49-F238E27FC236}">
                <a16:creationId xmlns:a16="http://schemas.microsoft.com/office/drawing/2014/main" id="{00000000-0008-0000-0200-000071020000}"/>
              </a:ext>
            </a:extLst>
          </xdr:cNvPr>
          <xdr:cNvSpPr txBox="1">
            <a:spLocks/>
          </xdr:cNvSpPr>
        </xdr:nvSpPr>
        <xdr:spPr>
          <a:xfrm>
            <a:off x="129540" y="49133760"/>
            <a:ext cx="2743200" cy="335280"/>
          </a:xfrm>
          <a:prstGeom prst="rect">
            <a:avLst/>
          </a:prstGeom>
          <a:solidFill>
            <a:srgbClr val="FFCCCC"/>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A05FCD"/>
                  </a:solidFill>
                </a:ln>
                <a:solidFill>
                  <a:srgbClr val="A05FCD"/>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4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400" i="1"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than</a:t>
            </a:r>
            <a:r>
              <a:rPr lang="en-US" sz="1400" i="1"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spc="-40" baseline="0">
                <a:ln>
                  <a:solidFill>
                    <a:srgbClr val="00B050"/>
                  </a:solidFill>
                </a:ln>
                <a:solidFill>
                  <a:srgbClr val="00B05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5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500" spc="-40">
              <a:ln>
                <a:solidFill>
                  <a:srgbClr val="FF0000"/>
                </a:solidFill>
              </a:ln>
              <a:solidFill>
                <a:srgbClr val="FF000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6" name="Or?">
            <a:extLst>
              <a:ext uri="{FF2B5EF4-FFF2-40B4-BE49-F238E27FC236}">
                <a16:creationId xmlns:a16="http://schemas.microsoft.com/office/drawing/2014/main" id="{00000000-0008-0000-0200-000072020000}"/>
              </a:ext>
            </a:extLst>
          </xdr:cNvPr>
          <xdr:cNvSpPr txBox="1">
            <a:spLocks/>
          </xdr:cNvSpPr>
        </xdr:nvSpPr>
        <xdr:spPr>
          <a:xfrm>
            <a:off x="160018" y="48768000"/>
            <a:ext cx="5779708"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6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You experience</a:t>
            </a:r>
            <a:r>
              <a:rPr lang="en-US" sz="1400"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your </a:t>
            </a:r>
            <a:r>
              <a:rPr lang="en-US" sz="1400" b="1"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psychosocial needs</a:t>
            </a:r>
            <a:r>
              <a:rPr lang="en-US" sz="1400" b="0"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quite differently from one another.</a:t>
            </a:r>
            <a:endParaRPr lang="en-US" sz="1400" spc="-6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7" name="Or?">
            <a:extLst>
              <a:ext uri="{FF2B5EF4-FFF2-40B4-BE49-F238E27FC236}">
                <a16:creationId xmlns:a16="http://schemas.microsoft.com/office/drawing/2014/main" id="{00000000-0008-0000-0200-000073020000}"/>
              </a:ext>
            </a:extLst>
          </xdr:cNvPr>
          <xdr:cNvSpPr txBox="1">
            <a:spLocks/>
          </xdr:cNvSpPr>
        </xdr:nvSpPr>
        <xdr:spPr>
          <a:xfrm>
            <a:off x="190500" y="49545240"/>
            <a:ext cx="5745480" cy="11049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600" b="1" spc="-4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And that's what forms the basis for political differences.</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Not rationally chosen differences. But stubborn needs. </a:t>
            </a:r>
            <a:r>
              <a:rPr lang="en-US" sz="1600" b="1" spc="-7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Your needs exist first, then prioritize you if left unresolved</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Political reasoning emerges </a:t>
            </a:r>
            <a:r>
              <a:rPr lang="en-US" sz="1600" b="1" i="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afterwards</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for their relief.</a:t>
            </a:r>
            <a:endParaRPr lang="en-US" sz="1600" b="1" spc="-40">
              <a:ln>
                <a:solidFill>
                  <a:srgbClr val="FFD9FF"/>
                </a:solidFill>
              </a:ln>
              <a:solidFill>
                <a:srgbClr val="2D143C"/>
              </a:solidFill>
              <a:latin typeface="Tahoma" panose="020B0604030504040204" pitchFamily="34" charset="0"/>
              <a:ea typeface="Tahoma" panose="020B0604030504040204" pitchFamily="34" charset="0"/>
              <a:cs typeface="Tahoma" panose="020B0604030504040204" pitchFamily="34" charset="0"/>
            </a:endParaRPr>
          </a:p>
        </xdr:txBody>
      </xdr:sp>
      <xdr:grpSp>
        <xdr:nvGrpSpPr>
          <xdr:cNvPr id="24" name="Group 23">
            <a:extLst>
              <a:ext uri="{FF2B5EF4-FFF2-40B4-BE49-F238E27FC236}">
                <a16:creationId xmlns:a16="http://schemas.microsoft.com/office/drawing/2014/main" id="{00000000-0008-0000-0200-000018000000}"/>
              </a:ext>
            </a:extLst>
          </xdr:cNvPr>
          <xdr:cNvGrpSpPr/>
        </xdr:nvGrpSpPr>
        <xdr:grpSpPr>
          <a:xfrm>
            <a:off x="129540" y="46649640"/>
            <a:ext cx="5869477" cy="906780"/>
            <a:chOff x="220980" y="38336220"/>
            <a:chExt cx="5869477" cy="906780"/>
          </a:xfrm>
        </xdr:grpSpPr>
        <xdr:sp macro="" textlink="">
          <xdr:nvSpPr>
            <xdr:cNvPr id="1014" name="You believe whatever serves your needs.">
              <a:extLst>
                <a:ext uri="{FF2B5EF4-FFF2-40B4-BE49-F238E27FC236}">
                  <a16:creationId xmlns:a16="http://schemas.microsoft.com/office/drawing/2014/main" id="{00000000-0008-0000-0200-0000F6030000}"/>
                </a:ext>
              </a:extLst>
            </xdr:cNvPr>
            <xdr:cNvSpPr txBox="1">
              <a:spLocks/>
            </xdr:cNvSpPr>
          </xdr:nvSpPr>
          <xdr:spPr>
            <a:xfrm>
              <a:off x="1379221" y="38732461"/>
              <a:ext cx="1280159" cy="510539"/>
            </a:xfrm>
            <a:prstGeom prst="rect">
              <a:avLst/>
            </a:prstGeom>
            <a:gradFill flip="none" rotWithShape="1">
              <a:gsLst>
                <a:gs pos="75000">
                  <a:srgbClr val="F0CDFF"/>
                </a:gs>
                <a:gs pos="0">
                  <a:schemeClr val="accent5">
                    <a:lumMod val="20000"/>
                    <a:lumOff val="80000"/>
                  </a:schemeClr>
                </a:gs>
              </a:gsLst>
              <a:lin ang="0" scaled="1"/>
              <a:tileRect/>
            </a:gra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1015" name="You believe whatever serves your needs.">
              <a:extLst>
                <a:ext uri="{FF2B5EF4-FFF2-40B4-BE49-F238E27FC236}">
                  <a16:creationId xmlns:a16="http://schemas.microsoft.com/office/drawing/2014/main" id="{00000000-0008-0000-0200-0000F7030000}"/>
                </a:ext>
              </a:extLst>
            </xdr:cNvPr>
            <xdr:cNvSpPr txBox="1">
              <a:spLocks/>
            </xdr:cNvSpPr>
          </xdr:nvSpPr>
          <xdr:spPr>
            <a:xfrm>
              <a:off x="3566161" y="38732461"/>
              <a:ext cx="1280159" cy="510539"/>
            </a:xfrm>
            <a:prstGeom prst="rect">
              <a:avLst/>
            </a:prstGeom>
            <a:gradFill flip="none" rotWithShape="1">
              <a:gsLst>
                <a:gs pos="25000">
                  <a:srgbClr val="F0CDFF"/>
                </a:gs>
                <a:gs pos="100000">
                  <a:srgbClr val="FFCCCC"/>
                </a:gs>
              </a:gsLst>
              <a:lin ang="0" scaled="1"/>
              <a:tileRect/>
            </a:gra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3" name="You believe whatever serves your needs.">
              <a:extLst>
                <a:ext uri="{FF2B5EF4-FFF2-40B4-BE49-F238E27FC236}">
                  <a16:creationId xmlns:a16="http://schemas.microsoft.com/office/drawing/2014/main" id="{00000000-0008-0000-0200-000041030000}"/>
                </a:ext>
              </a:extLst>
            </xdr:cNvPr>
            <xdr:cNvSpPr txBox="1">
              <a:spLocks/>
            </xdr:cNvSpPr>
          </xdr:nvSpPr>
          <xdr:spPr>
            <a:xfrm>
              <a:off x="220981" y="38732461"/>
              <a:ext cx="1305096" cy="510539"/>
            </a:xfrm>
            <a:prstGeom prst="rect">
              <a:avLst/>
            </a:prstGeom>
            <a:solidFill>
              <a:schemeClr val="accent5">
                <a:lumMod val="20000"/>
                <a:lumOff val="80000"/>
              </a:schemeClr>
            </a:soli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You</a:t>
              </a:r>
              <a:r>
                <a:rPr lang="en-US" sz="1100" b="0" spc="-50" baseline="0">
                  <a:solidFill>
                    <a:srgbClr val="0070C0"/>
                  </a:solidFill>
                  <a:latin typeface="Arial" panose="020B0604020202020204" pitchFamily="34" charset="0"/>
                  <a:ea typeface="Tahoma" panose="020B0604030504040204" pitchFamily="34" charset="0"/>
                  <a:cs typeface="Arial" panose="020B0604020202020204" pitchFamily="34" charset="0"/>
                </a:rPr>
                <a:t> s</a:t>
              </a: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eek</a:t>
              </a:r>
              <a:r>
                <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rPr>
                <a:t> inclusion</a:t>
              </a: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0070C0"/>
                  </a:solidFill>
                  <a:latin typeface="Arial" panose="020B0604020202020204" pitchFamily="34" charset="0"/>
                  <a:ea typeface="Tahoma" panose="020B0604030504040204" pitchFamily="34" charset="0"/>
                  <a:cs typeface="Arial" panose="020B0604020202020204" pitchFamily="34" charset="0"/>
                </a:rPr>
                <a:t> to ease less resolved social needs</a:t>
              </a: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5" name="You believe whatever serves your needs.">
              <a:extLst>
                <a:ext uri="{FF2B5EF4-FFF2-40B4-BE49-F238E27FC236}">
                  <a16:creationId xmlns:a16="http://schemas.microsoft.com/office/drawing/2014/main" id="{00000000-0008-0000-0200-000043030000}"/>
                </a:ext>
              </a:extLst>
            </xdr:cNvPr>
            <xdr:cNvSpPr txBox="1">
              <a:spLocks/>
            </xdr:cNvSpPr>
          </xdr:nvSpPr>
          <xdr:spPr>
            <a:xfrm>
              <a:off x="4785361" y="38732461"/>
              <a:ext cx="1305096" cy="510539"/>
            </a:xfrm>
            <a:prstGeom prst="rect">
              <a:avLst/>
            </a:prstGeom>
            <a:solidFill>
              <a:srgbClr val="FFCCCC"/>
            </a:solidFill>
          </xdr:spPr>
          <xdr:txBody>
            <a:bodyPr vert="horz" wrap="square" lIns="0" tIns="45720" rIns="9144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You</a:t>
              </a:r>
              <a:r>
                <a:rPr lang="en-US" sz="1100" b="0" spc="-50" baseline="0">
                  <a:solidFill>
                    <a:srgbClr val="C00000"/>
                  </a:solidFill>
                  <a:latin typeface="Arial" panose="020B0604020202020204" pitchFamily="34" charset="0"/>
                  <a:ea typeface="Tahoma" panose="020B0604030504040204" pitchFamily="34" charset="0"/>
                  <a:cs typeface="Arial" panose="020B0604020202020204" pitchFamily="34" charset="0"/>
                </a:rPr>
                <a:t> s</a:t>
              </a: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eek</a:t>
              </a:r>
              <a:r>
                <a:rPr lang="en-US" sz="1100" b="1" spc="-50">
                  <a:solidFill>
                    <a:srgbClr val="C00000"/>
                  </a:solidFill>
                  <a:latin typeface="Arial" panose="020B0604020202020204" pitchFamily="34" charset="0"/>
                  <a:ea typeface="Tahoma" panose="020B0604030504040204" pitchFamily="34" charset="0"/>
                  <a:cs typeface="Arial" panose="020B0604020202020204" pitchFamily="34" charset="0"/>
                </a:rPr>
                <a:t> freedom</a:t>
              </a: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C00000"/>
                  </a:solidFill>
                  <a:latin typeface="Arial" panose="020B0604020202020204" pitchFamily="34" charset="0"/>
                  <a:ea typeface="Tahoma" panose="020B0604030504040204" pitchFamily="34" charset="0"/>
                  <a:cs typeface="Arial" panose="020B0604020202020204" pitchFamily="34" charset="0"/>
                </a:rPr>
                <a:t> to ease less resolved personal needs</a:t>
              </a:r>
              <a:endParaRPr lang="en-US" sz="1100" b="1" spc="-50">
                <a:solidFill>
                  <a:srgbClr val="C0000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6" name="You believe whatever serves your needs.">
              <a:extLst>
                <a:ext uri="{FF2B5EF4-FFF2-40B4-BE49-F238E27FC236}">
                  <a16:creationId xmlns:a16="http://schemas.microsoft.com/office/drawing/2014/main" id="{00000000-0008-0000-0200-000044030000}"/>
                </a:ext>
              </a:extLst>
            </xdr:cNvPr>
            <xdr:cNvSpPr txBox="1">
              <a:spLocks/>
            </xdr:cNvSpPr>
          </xdr:nvSpPr>
          <xdr:spPr>
            <a:xfrm>
              <a:off x="2506981" y="38724841"/>
              <a:ext cx="1280159" cy="510539"/>
            </a:xfrm>
            <a:prstGeom prst="rect">
              <a:avLst/>
            </a:prstGeom>
            <a:solidFill>
              <a:srgbClr val="F0CDFF"/>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0" spc="-50">
                  <a:solidFill>
                    <a:srgbClr val="4B1E64"/>
                  </a:solidFill>
                  <a:latin typeface="Arial" panose="020B0604020202020204" pitchFamily="34" charset="0"/>
                  <a:ea typeface="Tahoma" panose="020B0604030504040204" pitchFamily="34" charset="0"/>
                  <a:cs typeface="Arial" panose="020B0604020202020204" pitchFamily="34" charset="0"/>
                </a:rPr>
                <a:t>You may seek</a:t>
              </a:r>
              <a:r>
                <a:rPr lang="en-US" sz="1100" b="1" spc="-50">
                  <a:solidFill>
                    <a:srgbClr val="4B1E64"/>
                  </a:solidFill>
                  <a:latin typeface="Arial" panose="020B0604020202020204" pitchFamily="34" charset="0"/>
                  <a:ea typeface="Tahoma" panose="020B0604030504040204" pitchFamily="34" charset="0"/>
                  <a:cs typeface="Arial" panose="020B0604020202020204" pitchFamily="34" charset="0"/>
                </a:rPr>
                <a:t> both</a:t>
              </a:r>
              <a:r>
                <a:rPr lang="en-US" sz="1100" b="0" spc="-50">
                  <a:solidFill>
                    <a:srgbClr val="4B1E64"/>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4B1E64"/>
                  </a:solidFill>
                  <a:latin typeface="Arial" panose="020B0604020202020204" pitchFamily="34" charset="0"/>
                  <a:ea typeface="Tahoma" panose="020B0604030504040204" pitchFamily="34" charset="0"/>
                  <a:cs typeface="Arial" panose="020B0604020202020204" pitchFamily="34" charset="0"/>
                </a:rPr>
                <a:t> </a:t>
              </a:r>
            </a:p>
            <a:p>
              <a:pPr marL="0" indent="0" algn="ctr">
                <a:lnSpc>
                  <a:spcPct val="80000"/>
                </a:lnSpc>
                <a:buNone/>
              </a:pPr>
              <a:r>
                <a:rPr lang="en-US" sz="1100" b="0" spc="-50" baseline="0">
                  <a:solidFill>
                    <a:srgbClr val="4B1E64"/>
                  </a:solidFill>
                  <a:latin typeface="Arial" panose="020B0604020202020204" pitchFamily="34" charset="0"/>
                  <a:ea typeface="Tahoma" panose="020B0604030504040204" pitchFamily="34" charset="0"/>
                  <a:cs typeface="Arial" panose="020B0604020202020204" pitchFamily="34" charset="0"/>
                </a:rPr>
                <a:t>personal &amp; social needs equally</a:t>
              </a:r>
              <a:endParaRPr lang="en-US" sz="1100" b="1" spc="-50">
                <a:solidFill>
                  <a:srgbClr val="4B1E64"/>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7" name="You believe whatever serves your needs.">
              <a:extLst>
                <a:ext uri="{FF2B5EF4-FFF2-40B4-BE49-F238E27FC236}">
                  <a16:creationId xmlns:a16="http://schemas.microsoft.com/office/drawing/2014/main" id="{00000000-0008-0000-0200-000045030000}"/>
                </a:ext>
              </a:extLst>
            </xdr:cNvPr>
            <xdr:cNvSpPr txBox="1">
              <a:spLocks/>
            </xdr:cNvSpPr>
          </xdr:nvSpPr>
          <xdr:spPr>
            <a:xfrm>
              <a:off x="220980" y="38336220"/>
              <a:ext cx="2743200" cy="365760"/>
            </a:xfrm>
            <a:prstGeom prst="rect">
              <a:avLst/>
            </a:prstGeom>
            <a:solidFill>
              <a:srgbClr val="002060"/>
            </a:solidFill>
          </xdr:spPr>
          <xdr:txBody>
            <a:bodyPr vert="horz" wrap="square" lIns="45720" tIns="45720" rIns="4572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200" b="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you</a:t>
              </a:r>
              <a:r>
                <a:rPr lang="en-US" sz="1200" b="0"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a:t>
              </a:r>
              <a:r>
                <a:rPr lang="en-US" sz="1200" b="1"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f</a:t>
              </a:r>
              <a:r>
                <a:rPr lang="en-US" sz="1200" b="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ocus</a:t>
              </a:r>
              <a:r>
                <a:rPr lang="en-US" sz="1200" b="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more on</a:t>
              </a:r>
              <a:r>
                <a:rPr lang="en-US" sz="1200" b="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a:t>
              </a:r>
              <a:r>
                <a:rPr lang="en-US" sz="1200" b="0" i="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social equality </a:t>
              </a:r>
              <a:r>
                <a:rPr lang="en-US" sz="1200" b="0" i="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than</a:t>
              </a:r>
              <a:r>
                <a:rPr lang="en-US" sz="1200" b="0" i="0"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on </a:t>
              </a:r>
              <a:r>
                <a:rPr lang="en-US" sz="1200" b="0" i="1"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individual freedoms</a:t>
              </a:r>
              <a:endParaRPr lang="en-US" sz="1200" b="1" i="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8" name="You believe whatever serves your needs.">
              <a:extLst>
                <a:ext uri="{FF2B5EF4-FFF2-40B4-BE49-F238E27FC236}">
                  <a16:creationId xmlns:a16="http://schemas.microsoft.com/office/drawing/2014/main" id="{00000000-0008-0000-0200-000046030000}"/>
                </a:ext>
              </a:extLst>
            </xdr:cNvPr>
            <xdr:cNvSpPr txBox="1">
              <a:spLocks/>
            </xdr:cNvSpPr>
          </xdr:nvSpPr>
          <xdr:spPr>
            <a:xfrm>
              <a:off x="3329941" y="38336220"/>
              <a:ext cx="2743200" cy="365760"/>
            </a:xfrm>
            <a:prstGeom prst="rect">
              <a:avLst/>
            </a:prstGeom>
            <a:solidFill>
              <a:srgbClr val="C00000"/>
            </a:solidFill>
          </xdr:spPr>
          <xdr:txBody>
            <a:bodyPr vert="horz" wrap="square" lIns="45720" tIns="45720" rIns="4572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200" b="0" spc="-70">
                  <a:solidFill>
                    <a:srgbClr val="FFCCCC"/>
                  </a:solidFill>
                  <a:latin typeface="Arial" panose="020B0604020202020204" pitchFamily="34" charset="0"/>
                  <a:ea typeface="Tahoma" panose="020B0604030504040204" pitchFamily="34" charset="0"/>
                  <a:cs typeface="Arial" panose="020B0604020202020204" pitchFamily="34" charset="0"/>
                </a:rPr>
                <a:t>you</a:t>
              </a:r>
              <a:r>
                <a:rPr lang="en-US" sz="1200" b="0" spc="-70" baseline="0">
                  <a:solidFill>
                    <a:srgbClr val="FFCCCC"/>
                  </a:solidFill>
                  <a:latin typeface="Arial" panose="020B0604020202020204" pitchFamily="34" charset="0"/>
                  <a:ea typeface="Tahoma" panose="020B0604030504040204" pitchFamily="34" charset="0"/>
                  <a:cs typeface="Arial" panose="020B0604020202020204" pitchFamily="34" charset="0"/>
                </a:rPr>
                <a:t> </a:t>
              </a:r>
              <a:r>
                <a:rPr lang="en-US" sz="1200" b="1" spc="-70" baseline="0">
                  <a:solidFill>
                    <a:srgbClr val="FFCCCC"/>
                  </a:solidFill>
                  <a:latin typeface="Arial" panose="020B0604020202020204" pitchFamily="34" charset="0"/>
                  <a:ea typeface="Tahoma" panose="020B0604030504040204" pitchFamily="34" charset="0"/>
                  <a:cs typeface="Arial" panose="020B0604020202020204" pitchFamily="34" charset="0"/>
                </a:rPr>
                <a:t>f</a:t>
              </a:r>
              <a:r>
                <a:rPr lang="en-US" sz="1200" b="1" spc="-70">
                  <a:solidFill>
                    <a:srgbClr val="FFCCCC"/>
                  </a:solidFill>
                  <a:latin typeface="Arial" panose="020B0604020202020204" pitchFamily="34" charset="0"/>
                  <a:ea typeface="Tahoma" panose="020B0604030504040204" pitchFamily="34" charset="0"/>
                  <a:cs typeface="Arial" panose="020B0604020202020204" pitchFamily="34" charset="0"/>
                </a:rPr>
                <a:t>ocus</a:t>
              </a:r>
              <a:r>
                <a:rPr lang="en-US" sz="1200" b="0" spc="-70">
                  <a:solidFill>
                    <a:srgbClr val="FFCCCC"/>
                  </a:solidFill>
                  <a:latin typeface="Arial" panose="020B0604020202020204" pitchFamily="34" charset="0"/>
                  <a:ea typeface="Tahoma" panose="020B0604030504040204" pitchFamily="34" charset="0"/>
                  <a:cs typeface="Arial" panose="020B0604020202020204" pitchFamily="34" charset="0"/>
                </a:rPr>
                <a:t> more on </a:t>
              </a:r>
              <a:r>
                <a:rPr lang="en-US" sz="1200" b="0" i="1" spc="-70">
                  <a:solidFill>
                    <a:srgbClr val="FFCCCC"/>
                  </a:solidFill>
                  <a:latin typeface="Arial" panose="020B0604020202020204" pitchFamily="34" charset="0"/>
                  <a:ea typeface="Tahoma" panose="020B0604030504040204" pitchFamily="34" charset="0"/>
                  <a:cs typeface="Arial" panose="020B0604020202020204" pitchFamily="34" charset="0"/>
                </a:rPr>
                <a:t>individual freedoms</a:t>
              </a:r>
              <a:r>
                <a:rPr lang="en-US" sz="1200" b="0" i="1" spc="-70" baseline="0">
                  <a:solidFill>
                    <a:srgbClr val="FFCCCC"/>
                  </a:solidFill>
                  <a:latin typeface="Arial" panose="020B0604020202020204" pitchFamily="34" charset="0"/>
                  <a:ea typeface="Tahoma" panose="020B0604030504040204" pitchFamily="34" charset="0"/>
                  <a:cs typeface="Arial" panose="020B0604020202020204" pitchFamily="34" charset="0"/>
                </a:rPr>
                <a:t> </a:t>
              </a:r>
              <a:r>
                <a:rPr lang="en-US" sz="1200" b="0" i="0" spc="-70" baseline="0">
                  <a:solidFill>
                    <a:srgbClr val="FFCCCC"/>
                  </a:solidFill>
                  <a:latin typeface="Arial" panose="020B0604020202020204" pitchFamily="34" charset="0"/>
                  <a:ea typeface="Tahoma" panose="020B0604030504040204" pitchFamily="34" charset="0"/>
                  <a:cs typeface="Arial" panose="020B0604020202020204" pitchFamily="34" charset="0"/>
                </a:rPr>
                <a:t>than </a:t>
              </a:r>
              <a:r>
                <a:rPr lang="en-US" sz="1200" b="0" i="0" spc="-50" baseline="0">
                  <a:solidFill>
                    <a:srgbClr val="FFCCCC"/>
                  </a:solidFill>
                  <a:latin typeface="Arial" panose="020B0604020202020204" pitchFamily="34" charset="0"/>
                  <a:ea typeface="Tahoma" panose="020B0604030504040204" pitchFamily="34" charset="0"/>
                  <a:cs typeface="Arial" panose="020B0604020202020204" pitchFamily="34" charset="0"/>
                </a:rPr>
                <a:t>on </a:t>
              </a:r>
              <a:r>
                <a:rPr lang="en-US" sz="1200" b="0" i="1" spc="-50" baseline="0">
                  <a:solidFill>
                    <a:srgbClr val="FFCCCC"/>
                  </a:solidFill>
                  <a:latin typeface="Arial" panose="020B0604020202020204" pitchFamily="34" charset="0"/>
                  <a:ea typeface="Tahoma" panose="020B0604030504040204" pitchFamily="34" charset="0"/>
                  <a:cs typeface="Arial" panose="020B0604020202020204" pitchFamily="34" charset="0"/>
                </a:rPr>
                <a:t>social equality</a:t>
              </a:r>
              <a:endParaRPr lang="en-US" sz="1200" b="1" spc="-50">
                <a:solidFill>
                  <a:srgbClr val="FFCCCC"/>
                </a:solidFill>
                <a:latin typeface="Arial" panose="020B0604020202020204" pitchFamily="34" charset="0"/>
                <a:ea typeface="Tahoma" panose="020B0604030504040204" pitchFamily="34" charset="0"/>
                <a:cs typeface="Arial" panose="020B0604020202020204" pitchFamily="34" charset="0"/>
              </a:endParaRPr>
            </a:p>
          </xdr:txBody>
        </xdr:sp>
      </xdr:grpSp>
      <xdr:sp macro="" textlink="">
        <xdr:nvSpPr>
          <xdr:cNvPr id="1585" name="Or?">
            <a:extLst>
              <a:ext uri="{FF2B5EF4-FFF2-40B4-BE49-F238E27FC236}">
                <a16:creationId xmlns:a16="http://schemas.microsoft.com/office/drawing/2014/main" id="{00000000-0008-0000-0200-000031060000}"/>
              </a:ext>
            </a:extLst>
          </xdr:cNvPr>
          <xdr:cNvSpPr txBox="1">
            <a:spLocks/>
          </xdr:cNvSpPr>
        </xdr:nvSpPr>
        <xdr:spPr>
          <a:xfrm>
            <a:off x="2903220" y="49118520"/>
            <a:ext cx="320040"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E600E6"/>
                  </a:solidFill>
                </a:ln>
                <a:solidFill>
                  <a:srgbClr val="FF3CFF"/>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or</a:t>
            </a:r>
            <a:endParaRPr lang="en-US" sz="1400" spc="-40">
              <a:ln>
                <a:solidFill>
                  <a:srgbClr val="FFD9FF"/>
                </a:solidFill>
              </a:ln>
              <a:solidFill>
                <a:srgbClr val="C304C8"/>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355</xdr:row>
      <xdr:rowOff>85725</xdr:rowOff>
    </xdr:from>
    <xdr:to>
      <xdr:col>7</xdr:col>
      <xdr:colOff>0</xdr:colOff>
      <xdr:row>363</xdr:row>
      <xdr:rowOff>55245</xdr:rowOff>
    </xdr:to>
    <xdr:sp macro="" textlink="">
      <xdr:nvSpPr>
        <xdr:cNvPr id="858" name="WIDE">
          <a:extLst>
            <a:ext uri="{FF2B5EF4-FFF2-40B4-BE49-F238E27FC236}">
              <a16:creationId xmlns:a16="http://schemas.microsoft.com/office/drawing/2014/main" id="{00000000-0008-0000-0200-00005A030000}"/>
            </a:ext>
          </a:extLst>
        </xdr:cNvPr>
        <xdr:cNvSpPr txBox="1"/>
      </xdr:nvSpPr>
      <xdr:spPr>
        <a:xfrm>
          <a:off x="121920" y="66006345"/>
          <a:ext cx="2971800" cy="1371600"/>
        </a:xfrm>
        <a:prstGeom prst="rect">
          <a:avLst/>
        </a:prstGeom>
        <a:noFill/>
        <a:ln>
          <a:noFill/>
        </a:ln>
      </xdr:spPr>
      <xdr:txBody>
        <a:bodyPr rot="0" spcFirstLastPara="0" vert="horz" wrap="square" lIns="91440" tIns="45720" rIns="91440" bIns="45720" numCol="1" spcCol="0" rtlCol="0" fromWordArt="0" anchor="t" anchorCtr="0" forceAA="0" compatLnSpc="1">
          <a:prstTxWarp prst="textInflate">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7200">
              <a:ln>
                <a:solidFill>
                  <a:schemeClr val="bg1"/>
                </a:solidFill>
              </a:ln>
              <a:gradFill>
                <a:gsLst>
                  <a:gs pos="0">
                    <a:srgbClr val="1F4E79"/>
                  </a:gs>
                  <a:gs pos="50000">
                    <a:srgbClr val="5B9BD5"/>
                  </a:gs>
                  <a:gs pos="100000">
                    <a:srgbClr val="9DC3E6"/>
                  </a:gs>
                </a:gsLst>
                <a:lin ang="5400000" scaled="0"/>
              </a:gradFill>
              <a:effectLst>
                <a:innerShdw blurRad="63500" dist="50800" dir="54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rPr>
            <a:t>WIDE</a:t>
          </a:r>
          <a:endParaRPr lang="en-US" sz="7200">
            <a:ln>
              <a:solidFill>
                <a:schemeClr val="bg1"/>
              </a:solidFill>
            </a:ln>
            <a:effectLst>
              <a:innerShdw blurRad="63500" dist="50800" dir="54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endParaRPr>
        </a:p>
      </xdr:txBody>
    </xdr:sp>
    <xdr:clientData/>
  </xdr:twoCellAnchor>
  <xdr:twoCellAnchor>
    <xdr:from>
      <xdr:col>7</xdr:col>
      <xdr:colOff>36467</xdr:colOff>
      <xdr:row>355</xdr:row>
      <xdr:rowOff>91440</xdr:rowOff>
    </xdr:from>
    <xdr:to>
      <xdr:col>13</xdr:col>
      <xdr:colOff>36467</xdr:colOff>
      <xdr:row>363</xdr:row>
      <xdr:rowOff>60960</xdr:rowOff>
    </xdr:to>
    <xdr:sp macro="" textlink="">
      <xdr:nvSpPr>
        <xdr:cNvPr id="859" name="DEEP">
          <a:extLst>
            <a:ext uri="{FF2B5EF4-FFF2-40B4-BE49-F238E27FC236}">
              <a16:creationId xmlns:a16="http://schemas.microsoft.com/office/drawing/2014/main" id="{00000000-0008-0000-0200-00005B030000}"/>
            </a:ext>
          </a:extLst>
        </xdr:cNvPr>
        <xdr:cNvSpPr txBox="1"/>
      </xdr:nvSpPr>
      <xdr:spPr>
        <a:xfrm>
          <a:off x="3130187" y="66012060"/>
          <a:ext cx="2971800" cy="1371600"/>
        </a:xfrm>
        <a:prstGeom prst="rect">
          <a:avLst/>
        </a:prstGeom>
        <a:noFill/>
        <a:ln>
          <a:noFill/>
        </a:ln>
      </xdr:spPr>
      <xdr:txBody>
        <a:bodyPr rot="0" spcFirstLastPara="0" vert="horz" wrap="square" lIns="91440" tIns="45720" rIns="91440" bIns="45720" numCol="1" spcCol="0" rtlCol="0" fromWordArt="0" anchor="t" anchorCtr="0" forceAA="0" compatLnSpc="1">
          <a:prstTxWarp prst="textInflate">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7200">
              <a:ln>
                <a:solidFill>
                  <a:schemeClr val="bg1"/>
                </a:solidFill>
              </a:ln>
              <a:gradFill>
                <a:gsLst>
                  <a:gs pos="0">
                    <a:srgbClr val="9B4042"/>
                  </a:gs>
                  <a:gs pos="50000">
                    <a:srgbClr val="DF5F63"/>
                  </a:gs>
                  <a:gs pos="100000">
                    <a:srgbClr val="FF7277"/>
                  </a:gs>
                </a:gsLst>
                <a:lin ang="16200000" scaled="0"/>
              </a:gradFill>
              <a:effectLst>
                <a:innerShdw blurRad="63500" dist="50800" dir="162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rPr>
            <a:t>DEEP</a:t>
          </a:r>
          <a:endParaRPr lang="en-US" sz="7200">
            <a:ln>
              <a:solidFill>
                <a:schemeClr val="bg1"/>
              </a:solidFill>
            </a:ln>
            <a:effectLst>
              <a:innerShdw blurRad="63500" dist="50800" dir="162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endParaRPr>
        </a:p>
      </xdr:txBody>
    </xdr:sp>
    <xdr:clientData/>
  </xdr:twoCellAnchor>
  <xdr:twoCellAnchor>
    <xdr:from>
      <xdr:col>7</xdr:col>
      <xdr:colOff>239859</xdr:colOff>
      <xdr:row>388</xdr:row>
      <xdr:rowOff>129540</xdr:rowOff>
    </xdr:from>
    <xdr:to>
      <xdr:col>13</xdr:col>
      <xdr:colOff>11259</xdr:colOff>
      <xdr:row>393</xdr:row>
      <xdr:rowOff>167640</xdr:rowOff>
    </xdr:to>
    <xdr:sp macro="" textlink="">
      <xdr:nvSpPr>
        <xdr:cNvPr id="862" name="DEEP emphasis">
          <a:extLst>
            <a:ext uri="{FF2B5EF4-FFF2-40B4-BE49-F238E27FC236}">
              <a16:creationId xmlns:a16="http://schemas.microsoft.com/office/drawing/2014/main" id="{00000000-0008-0000-0200-00005E030000}"/>
            </a:ext>
          </a:extLst>
        </xdr:cNvPr>
        <xdr:cNvSpPr/>
      </xdr:nvSpPr>
      <xdr:spPr>
        <a:xfrm>
          <a:off x="3333579" y="72161400"/>
          <a:ext cx="2743200" cy="91440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Since my </a:t>
          </a:r>
          <a:r>
            <a:rPr lang="en-US" sz="1600" b="1">
              <a:ln w="18415" cmpd="sng">
                <a:solidFill>
                  <a:srgbClr val="E1FFEB"/>
                </a:solidFill>
                <a:prstDash val="solid"/>
              </a:ln>
              <a:solidFill>
                <a:srgbClr val="00F587"/>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b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b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are less resolved than my </a:t>
          </a:r>
          <a:r>
            <a:rPr lang="en-US" sz="1600" b="1">
              <a:ln w="18415" cmpd="sng">
                <a:solidFill>
                  <a:srgbClr val="EBDCFF"/>
                </a:solidFill>
                <a:prstDash val="solid"/>
              </a:ln>
              <a:solidFill>
                <a:srgbClr val="CC66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198727</xdr:colOff>
      <xdr:row>401</xdr:row>
      <xdr:rowOff>71036</xdr:rowOff>
    </xdr:from>
    <xdr:to>
      <xdr:col>12</xdr:col>
      <xdr:colOff>465427</xdr:colOff>
      <xdr:row>405</xdr:row>
      <xdr:rowOff>71036</xdr:rowOff>
    </xdr:to>
    <xdr:sp macro="" textlink="">
      <xdr:nvSpPr>
        <xdr:cNvPr id="863" name="DEEP - opposite">
          <a:extLst>
            <a:ext uri="{FF2B5EF4-FFF2-40B4-BE49-F238E27FC236}">
              <a16:creationId xmlns:a16="http://schemas.microsoft.com/office/drawing/2014/main" id="{00000000-0008-0000-0200-00005F030000}"/>
            </a:ext>
          </a:extLst>
        </xdr:cNvPr>
        <xdr:cNvSpPr/>
      </xdr:nvSpPr>
      <xdr:spPr>
        <a:xfrm>
          <a:off x="3292447" y="74381276"/>
          <a:ext cx="2743200" cy="70866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believe </a:t>
          </a: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opposite to what</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600" b="1" kern="120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you believe</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388</xdr:row>
      <xdr:rowOff>129539</xdr:rowOff>
    </xdr:from>
    <xdr:to>
      <xdr:col>6</xdr:col>
      <xdr:colOff>266700</xdr:colOff>
      <xdr:row>393</xdr:row>
      <xdr:rowOff>107711</xdr:rowOff>
    </xdr:to>
    <xdr:sp macro="" textlink="">
      <xdr:nvSpPr>
        <xdr:cNvPr id="864" name="WIDE emphasis">
          <a:extLst>
            <a:ext uri="{FF2B5EF4-FFF2-40B4-BE49-F238E27FC236}">
              <a16:creationId xmlns:a16="http://schemas.microsoft.com/office/drawing/2014/main" id="{00000000-0008-0000-0200-000060030000}"/>
            </a:ext>
          </a:extLst>
        </xdr:cNvPr>
        <xdr:cNvSpPr/>
      </xdr:nvSpPr>
      <xdr:spPr>
        <a:xfrm>
          <a:off x="114300" y="77634464"/>
          <a:ext cx="2695575" cy="835422"/>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Since my </a:t>
          </a:r>
          <a:r>
            <a:rPr lang="en-US" sz="1600" b="1">
              <a:ln w="18415" cmpd="sng">
                <a:solidFill>
                  <a:srgbClr val="EBDCFF"/>
                </a:solidFill>
                <a:prstDash val="solid"/>
              </a:ln>
              <a:solidFill>
                <a:srgbClr val="CC66FF"/>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E4C9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br>
            <a:rPr lang="en-US" sz="1600" b="1">
              <a:ln w="18415" cmpd="sng">
                <a:solidFill>
                  <a:srgbClr val="FFFFFF"/>
                </a:solidFill>
                <a:prstDash val="solid"/>
              </a:ln>
              <a:solidFill>
                <a:srgbClr val="E4C9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b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are less resolved than my </a:t>
          </a:r>
          <a:r>
            <a:rPr lang="en-US" sz="1600" b="1">
              <a:ln w="18415" cmpd="sng">
                <a:solidFill>
                  <a:srgbClr val="E1FFEB"/>
                </a:solidFill>
                <a:prstDash val="solid"/>
              </a:ln>
              <a:solidFill>
                <a:srgbClr val="00F587"/>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401</xdr:row>
      <xdr:rowOff>71036</xdr:rowOff>
    </xdr:from>
    <xdr:to>
      <xdr:col>6</xdr:col>
      <xdr:colOff>266700</xdr:colOff>
      <xdr:row>404</xdr:row>
      <xdr:rowOff>144411</xdr:rowOff>
    </xdr:to>
    <xdr:sp macro="" textlink="">
      <xdr:nvSpPr>
        <xdr:cNvPr id="865" name="WIDE - opposite">
          <a:extLst>
            <a:ext uri="{FF2B5EF4-FFF2-40B4-BE49-F238E27FC236}">
              <a16:creationId xmlns:a16="http://schemas.microsoft.com/office/drawing/2014/main" id="{00000000-0008-0000-0200-000061030000}"/>
            </a:ext>
          </a:extLst>
        </xdr:cNvPr>
        <xdr:cNvSpPr/>
      </xdr:nvSpPr>
      <xdr:spPr>
        <a:xfrm>
          <a:off x="114300" y="79804811"/>
          <a:ext cx="2695575" cy="587725"/>
        </a:xfrm>
        <a:prstGeom prst="rect">
          <a:avLst/>
        </a:prstGeom>
        <a:noFill/>
        <a:effectLst>
          <a:glow rad="127000">
            <a:srgbClr val="002060"/>
          </a:glow>
        </a:effectLst>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kern="120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believe </a:t>
          </a: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opposite to what </a:t>
          </a:r>
          <a:r>
            <a:rPr lang="en-US" sz="1600" b="1" kern="1200">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you believe</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49359</xdr:colOff>
      <xdr:row>394</xdr:row>
      <xdr:rowOff>22860</xdr:rowOff>
    </xdr:from>
    <xdr:to>
      <xdr:col>13</xdr:col>
      <xdr:colOff>3639</xdr:colOff>
      <xdr:row>400</xdr:row>
      <xdr:rowOff>160020</xdr:rowOff>
    </xdr:to>
    <xdr:sp macro="" textlink="">
      <xdr:nvSpPr>
        <xdr:cNvPr id="866" name="DEEP emphasis">
          <a:extLst>
            <a:ext uri="{FF2B5EF4-FFF2-40B4-BE49-F238E27FC236}">
              <a16:creationId xmlns:a16="http://schemas.microsoft.com/office/drawing/2014/main" id="{00000000-0008-0000-0200-000062030000}"/>
            </a:ext>
          </a:extLst>
        </xdr:cNvPr>
        <xdr:cNvSpPr/>
      </xdr:nvSpPr>
      <xdr:spPr>
        <a:xfrm>
          <a:off x="3143079" y="73106280"/>
          <a:ext cx="2926080" cy="118872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 must prioritize easing my </a:t>
          </a:r>
          <a:r>
            <a:rPr lang="en-US" sz="1600" b="1">
              <a:ln w="18415" cmpd="sng">
                <a:solidFill>
                  <a:srgbClr val="E1FFEB"/>
                </a:solidFill>
                <a:prstDash val="solid"/>
              </a:ln>
              <a:solidFill>
                <a:srgbClr val="00F587"/>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while</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guarding my more resolved </a:t>
          </a:r>
          <a:r>
            <a:rPr lang="en-US" sz="1600" b="1">
              <a:ln w="18415" cmpd="sng">
                <a:solidFill>
                  <a:srgbClr val="EBDCFF"/>
                </a:solidFill>
                <a:prstDash val="solid"/>
              </a:ln>
              <a:solidFill>
                <a:srgbClr val="CC66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394</xdr:row>
      <xdr:rowOff>22859</xdr:rowOff>
    </xdr:from>
    <xdr:to>
      <xdr:col>6</xdr:col>
      <xdr:colOff>449580</xdr:colOff>
      <xdr:row>400</xdr:row>
      <xdr:rowOff>77276</xdr:rowOff>
    </xdr:to>
    <xdr:sp macro="" textlink="">
      <xdr:nvSpPr>
        <xdr:cNvPr id="867" name="WIDE emphasis">
          <a:extLst>
            <a:ext uri="{FF2B5EF4-FFF2-40B4-BE49-F238E27FC236}">
              <a16:creationId xmlns:a16="http://schemas.microsoft.com/office/drawing/2014/main" id="{00000000-0008-0000-0200-000063030000}"/>
            </a:ext>
          </a:extLst>
        </xdr:cNvPr>
        <xdr:cNvSpPr/>
      </xdr:nvSpPr>
      <xdr:spPr>
        <a:xfrm>
          <a:off x="114300" y="78556484"/>
          <a:ext cx="2878455" cy="108311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 must prioritize</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easing my </a:t>
          </a:r>
          <a:r>
            <a:rPr lang="en-US" sz="1600" b="1" kern="1200">
              <a:ln w="18415" cmpd="sng">
                <a:solidFill>
                  <a:srgbClr val="EBDCFF"/>
                </a:solidFill>
                <a:prstDash val="solid"/>
              </a:ln>
              <a:solidFill>
                <a:srgbClr val="CC66FF"/>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while guarding my more resolved </a:t>
          </a:r>
          <a:r>
            <a:rPr lang="en-US" sz="1600" b="1" kern="1200">
              <a:ln w="18415" cmpd="sng">
                <a:solidFill>
                  <a:srgbClr val="E1FFEB"/>
                </a:solidFill>
                <a:prstDash val="solid"/>
              </a:ln>
              <a:solidFill>
                <a:srgbClr val="00F587"/>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198727</xdr:colOff>
      <xdr:row>405</xdr:row>
      <xdr:rowOff>48176</xdr:rowOff>
    </xdr:from>
    <xdr:to>
      <xdr:col>12</xdr:col>
      <xdr:colOff>465427</xdr:colOff>
      <xdr:row>410</xdr:row>
      <xdr:rowOff>55796</xdr:rowOff>
    </xdr:to>
    <xdr:sp macro="" textlink="">
      <xdr:nvSpPr>
        <xdr:cNvPr id="870" name="DEEP - opposite">
          <a:extLst>
            <a:ext uri="{FF2B5EF4-FFF2-40B4-BE49-F238E27FC236}">
              <a16:creationId xmlns:a16="http://schemas.microsoft.com/office/drawing/2014/main" id="{00000000-0008-0000-0200-000066030000}"/>
            </a:ext>
          </a:extLst>
        </xdr:cNvPr>
        <xdr:cNvSpPr/>
      </xdr:nvSpPr>
      <xdr:spPr>
        <a:xfrm>
          <a:off x="3292447" y="75067076"/>
          <a:ext cx="2743200" cy="91440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Because our opposite set of affected needs priortize </a:t>
          </a:r>
          <a:r>
            <a:rPr lang="en-US" sz="1600" b="1" kern="1200">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our beliefs</a:t>
          </a:r>
          <a:r>
            <a:rPr lang="en-US" sz="1600" b="1" kern="1200">
              <a:ln w="18415" cmpd="sng">
                <a:solidFill>
                  <a:srgbClr val="FFFFFF"/>
                </a:solidFill>
                <a:prstDash val="solid"/>
              </a:ln>
              <a:solidFill>
                <a:srgbClr val="FFFFFF"/>
              </a:solidFill>
              <a:effectLst>
                <a:glow rad="76200">
                  <a:schemeClr val="bg1">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405</xdr:row>
      <xdr:rowOff>48176</xdr:rowOff>
    </xdr:from>
    <xdr:to>
      <xdr:col>6</xdr:col>
      <xdr:colOff>266700</xdr:colOff>
      <xdr:row>410</xdr:row>
      <xdr:rowOff>7298</xdr:rowOff>
    </xdr:to>
    <xdr:sp macro="" textlink="">
      <xdr:nvSpPr>
        <xdr:cNvPr id="871" name="WIDE - opposite">
          <a:extLst>
            <a:ext uri="{FF2B5EF4-FFF2-40B4-BE49-F238E27FC236}">
              <a16:creationId xmlns:a16="http://schemas.microsoft.com/office/drawing/2014/main" id="{00000000-0008-0000-0200-000067030000}"/>
            </a:ext>
          </a:extLst>
        </xdr:cNvPr>
        <xdr:cNvSpPr/>
      </xdr:nvSpPr>
      <xdr:spPr>
        <a:xfrm>
          <a:off x="114300" y="80467751"/>
          <a:ext cx="2695575" cy="835422"/>
        </a:xfrm>
        <a:prstGeom prst="rect">
          <a:avLst/>
        </a:prstGeom>
        <a:noFill/>
        <a:effectLst>
          <a:glow rad="127000">
            <a:srgbClr val="002060"/>
          </a:glow>
        </a:effectLst>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Because our opposite set of affected needs priortize </a:t>
          </a:r>
          <a:r>
            <a:rPr lang="en-US" sz="1600" b="1" kern="1200" baseline="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our beliefs</a:t>
          </a:r>
          <a:r>
            <a:rPr lang="en-US" sz="1600" b="1" kern="1200">
              <a:ln w="18415" cmpd="sng">
                <a:solidFill>
                  <a:srgbClr val="FFFFFF"/>
                </a:solidFill>
                <a:prstDash val="solid"/>
              </a:ln>
              <a:solidFill>
                <a:srgbClr val="FFFFFF"/>
              </a:solidFill>
              <a:effectLst>
                <a:glow rad="76200">
                  <a:schemeClr val="bg1">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5</xdr:col>
      <xdr:colOff>457558</xdr:colOff>
      <xdr:row>58</xdr:row>
      <xdr:rowOff>151851</xdr:rowOff>
    </xdr:from>
    <xdr:to>
      <xdr:col>6</xdr:col>
      <xdr:colOff>189515</xdr:colOff>
      <xdr:row>60</xdr:row>
      <xdr:rowOff>54693</xdr:rowOff>
    </xdr:to>
    <xdr:sp macro="" textlink="">
      <xdr:nvSpPr>
        <xdr:cNvPr id="953" name="Freeform: Shape 952">
          <a:extLst>
            <a:ext uri="{FF2B5EF4-FFF2-40B4-BE49-F238E27FC236}">
              <a16:creationId xmlns:a16="http://schemas.microsoft.com/office/drawing/2014/main" id="{00000000-0008-0000-0200-0000B9030000}"/>
            </a:ext>
          </a:extLst>
        </xdr:cNvPr>
        <xdr:cNvSpPr/>
      </xdr:nvSpPr>
      <xdr:spPr>
        <a:xfrm>
          <a:off x="2560678"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F0CD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58</xdr:row>
      <xdr:rowOff>151851</xdr:rowOff>
    </xdr:from>
    <xdr:to>
      <xdr:col>8</xdr:col>
      <xdr:colOff>27809</xdr:colOff>
      <xdr:row>60</xdr:row>
      <xdr:rowOff>54693</xdr:rowOff>
    </xdr:to>
    <xdr:sp macro="" textlink="">
      <xdr:nvSpPr>
        <xdr:cNvPr id="954" name="Freeform: Shape 953">
          <a:extLst>
            <a:ext uri="{FF2B5EF4-FFF2-40B4-BE49-F238E27FC236}">
              <a16:creationId xmlns:a16="http://schemas.microsoft.com/office/drawing/2014/main" id="{00000000-0008-0000-0200-0000BA030000}"/>
            </a:ext>
          </a:extLst>
        </xdr:cNvPr>
        <xdr:cNvSpPr/>
      </xdr:nvSpPr>
      <xdr:spPr>
        <a:xfrm flipH="1">
          <a:off x="3389572"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94615</xdr:colOff>
      <xdr:row>54</xdr:row>
      <xdr:rowOff>108400</xdr:rowOff>
    </xdr:from>
    <xdr:to>
      <xdr:col>13</xdr:col>
      <xdr:colOff>7239</xdr:colOff>
      <xdr:row>61</xdr:row>
      <xdr:rowOff>46084</xdr:rowOff>
    </xdr:to>
    <xdr:grpSp>
      <xdr:nvGrpSpPr>
        <xdr:cNvPr id="39" name="Group 38">
          <a:extLst>
            <a:ext uri="{FF2B5EF4-FFF2-40B4-BE49-F238E27FC236}">
              <a16:creationId xmlns:a16="http://schemas.microsoft.com/office/drawing/2014/main" id="{00000000-0008-0000-0200-000027000000}"/>
            </a:ext>
          </a:extLst>
        </xdr:cNvPr>
        <xdr:cNvGrpSpPr/>
      </xdr:nvGrpSpPr>
      <xdr:grpSpPr>
        <a:xfrm>
          <a:off x="94615" y="11408860"/>
          <a:ext cx="6061964" cy="1149264"/>
          <a:chOff x="104140" y="2857315"/>
          <a:chExt cx="5978144" cy="1134024"/>
        </a:xfrm>
      </xdr:grpSpPr>
      <xdr:sp macro="" textlink="">
        <xdr:nvSpPr>
          <xdr:cNvPr id="22" name="Rectangle 21">
            <a:extLst>
              <a:ext uri="{FF2B5EF4-FFF2-40B4-BE49-F238E27FC236}">
                <a16:creationId xmlns:a16="http://schemas.microsoft.com/office/drawing/2014/main" id="{00000000-0008-0000-0200-000016000000}"/>
              </a:ext>
            </a:extLst>
          </xdr:cNvPr>
          <xdr:cNvSpPr/>
        </xdr:nvSpPr>
        <xdr:spPr>
          <a:xfrm>
            <a:off x="2655558" y="2857315"/>
            <a:ext cx="931916" cy="1134024"/>
          </a:xfrm>
          <a:prstGeom prst="rect">
            <a:avLst/>
          </a:prstGeom>
          <a:noFill/>
        </xdr:spPr>
        <xdr:txBody>
          <a:bodyPr wrap="none" lIns="91440" tIns="45720" rIns="91440" bIns="45720">
            <a:noAutofit/>
          </a:bodyPr>
          <a:lstStyle/>
          <a:p>
            <a:pPr algn="ctr">
              <a:lnSpc>
                <a:spcPts val="9600"/>
              </a:lnSpc>
            </a:pPr>
            <a:r>
              <a:rPr lang="en-US" sz="9600" b="1" cap="none" spc="0">
                <a:ln w="10160">
                  <a:solidFill>
                    <a:schemeClr val="accent5"/>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661" name="Speech Bubble: Rectangle with Corners Rounded 660">
            <a:extLst>
              <a:ext uri="{FF2B5EF4-FFF2-40B4-BE49-F238E27FC236}">
                <a16:creationId xmlns:a16="http://schemas.microsoft.com/office/drawing/2014/main" id="{00000000-0008-0000-0200-000095020000}"/>
              </a:ext>
            </a:extLst>
          </xdr:cNvPr>
          <xdr:cNvSpPr/>
        </xdr:nvSpPr>
        <xdr:spPr>
          <a:xfrm flipH="1">
            <a:off x="3556180" y="3106362"/>
            <a:ext cx="2526104" cy="868102"/>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3" name="Speech Bubble: Rectangle with Corners Rounded 22">
            <a:extLst>
              <a:ext uri="{FF2B5EF4-FFF2-40B4-BE49-F238E27FC236}">
                <a16:creationId xmlns:a16="http://schemas.microsoft.com/office/drawing/2014/main" id="{00000000-0008-0000-0200-000017000000}"/>
              </a:ext>
            </a:extLst>
          </xdr:cNvPr>
          <xdr:cNvSpPr/>
        </xdr:nvSpPr>
        <xdr:spPr>
          <a:xfrm>
            <a:off x="104140" y="3106362"/>
            <a:ext cx="2522061" cy="868102"/>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48195</xdr:colOff>
      <xdr:row>281</xdr:row>
      <xdr:rowOff>50978</xdr:rowOff>
    </xdr:from>
    <xdr:to>
      <xdr:col>8</xdr:col>
      <xdr:colOff>434340</xdr:colOff>
      <xdr:row>286</xdr:row>
      <xdr:rowOff>155753</xdr:rowOff>
    </xdr:to>
    <xdr:sp macro="" textlink="">
      <xdr:nvSpPr>
        <xdr:cNvPr id="956" name="TextBox 955">
          <a:extLst>
            <a:ext uri="{FF2B5EF4-FFF2-40B4-BE49-F238E27FC236}">
              <a16:creationId xmlns:a16="http://schemas.microsoft.com/office/drawing/2014/main" id="{00000000-0008-0000-0200-0000BC030000}"/>
            </a:ext>
          </a:extLst>
        </xdr:cNvPr>
        <xdr:cNvSpPr txBox="1"/>
      </xdr:nvSpPr>
      <xdr:spPr>
        <a:xfrm>
          <a:off x="48195" y="59677478"/>
          <a:ext cx="3900870" cy="914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50">
              <a:latin typeface="Tahoma" panose="020B0604030504040204" pitchFamily="34" charset="0"/>
              <a:ea typeface="Tahoma" panose="020B0604030504040204" pitchFamily="34" charset="0"/>
              <a:cs typeface="Tahoma" panose="020B0604030504040204" pitchFamily="34" charset="0"/>
            </a:rPr>
            <a:t>To paraprhase JFK, ask not how others can agree with you politically; ask how you can better respect their needs. The </a:t>
          </a:r>
          <a:r>
            <a:rPr lang="en-US" sz="1050" spc="-20" baseline="0">
              <a:latin typeface="Tahoma" panose="020B0604030504040204" pitchFamily="34" charset="0"/>
              <a:ea typeface="Tahoma" panose="020B0604030504040204" pitchFamily="34" charset="0"/>
              <a:cs typeface="Tahoma" panose="020B0604030504040204" pitchFamily="34" charset="0"/>
            </a:rPr>
            <a:t>more you respect their needs, the more you earn their respect </a:t>
          </a:r>
          <a:r>
            <a:rPr lang="en-US" sz="1050">
              <a:latin typeface="Tahoma" panose="020B0604030504040204" pitchFamily="34" charset="0"/>
              <a:ea typeface="Tahoma" panose="020B0604030504040204" pitchFamily="34" charset="0"/>
              <a:cs typeface="Tahoma" panose="020B0604030504040204" pitchFamily="34" charset="0"/>
            </a:rPr>
            <a:t>for yours. The standard applied sets the standard replied.</a:t>
          </a:r>
          <a:endParaRPr lang="en-US" sz="10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286</xdr:row>
      <xdr:rowOff>38101</xdr:rowOff>
    </xdr:from>
    <xdr:to>
      <xdr:col>14</xdr:col>
      <xdr:colOff>0</xdr:colOff>
      <xdr:row>288</xdr:row>
      <xdr:rowOff>152400</xdr:rowOff>
    </xdr:to>
    <xdr:sp macro="" textlink="">
      <xdr:nvSpPr>
        <xdr:cNvPr id="957" name="TextBox 956">
          <a:extLst>
            <a:ext uri="{FF2B5EF4-FFF2-40B4-BE49-F238E27FC236}">
              <a16:creationId xmlns:a16="http://schemas.microsoft.com/office/drawing/2014/main" id="{00000000-0008-0000-0200-0000BD030000}"/>
            </a:ext>
          </a:extLst>
        </xdr:cNvPr>
        <xdr:cNvSpPr txBox="1"/>
      </xdr:nvSpPr>
      <xdr:spPr>
        <a:xfrm>
          <a:off x="45720" y="53774341"/>
          <a:ext cx="6141720" cy="4648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400" b="1" spc="-20" baseline="0">
              <a:latin typeface="Tahoma" panose="020B0604030504040204" pitchFamily="34" charset="0"/>
              <a:ea typeface="Tahoma" panose="020B0604030504040204" pitchFamily="34" charset="0"/>
              <a:cs typeface="Tahoma" panose="020B0604030504040204" pitchFamily="34" charset="0"/>
            </a:rPr>
            <a:t>Let's stop hating on each other for what neither can easily change</a:t>
          </a:r>
          <a:r>
            <a:rPr lang="en-US" sz="1400" b="1">
              <a:latin typeface="Tahoma" panose="020B0604030504040204" pitchFamily="34" charset="0"/>
              <a:ea typeface="Tahoma" panose="020B0604030504040204" pitchFamily="34" charset="0"/>
              <a:cs typeface="Tahoma" panose="020B0604030504040204" pitchFamily="34" charset="0"/>
            </a:rPr>
            <a:t>. </a:t>
          </a:r>
          <a:endParaRPr lang="en-US" sz="1200" b="1"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81249</xdr:colOff>
      <xdr:row>276</xdr:row>
      <xdr:rowOff>4007</xdr:rowOff>
    </xdr:from>
    <xdr:to>
      <xdr:col>8</xdr:col>
      <xdr:colOff>41244</xdr:colOff>
      <xdr:row>281</xdr:row>
      <xdr:rowOff>108782</xdr:rowOff>
    </xdr:to>
    <xdr:sp macro="" textlink="">
      <xdr:nvSpPr>
        <xdr:cNvPr id="958" name="TextBox 957">
          <a:extLst>
            <a:ext uri="{FF2B5EF4-FFF2-40B4-BE49-F238E27FC236}">
              <a16:creationId xmlns:a16="http://schemas.microsoft.com/office/drawing/2014/main" id="{00000000-0008-0000-0200-0000BE030000}"/>
            </a:ext>
          </a:extLst>
        </xdr:cNvPr>
        <xdr:cNvSpPr txBox="1"/>
      </xdr:nvSpPr>
      <xdr:spPr>
        <a:xfrm>
          <a:off x="81249" y="58820882"/>
          <a:ext cx="3474720" cy="914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50">
              <a:latin typeface="Tahoma" panose="020B0604030504040204" pitchFamily="34" charset="0"/>
              <a:ea typeface="Tahoma" panose="020B0604030504040204" pitchFamily="34" charset="0"/>
              <a:cs typeface="Tahoma" panose="020B0604030504040204" pitchFamily="34" charset="0"/>
            </a:rPr>
            <a:t>Can you change your priority of pressing needs to fit the expectations of another's persuasive political arguments? If not, why try to change their priority of pressing needs to fit your expectations? Why set yourself up to hate them for not agreeing with you?</a:t>
          </a:r>
          <a:endParaRPr lang="en-US" sz="10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99060</xdr:colOff>
      <xdr:row>272</xdr:row>
      <xdr:rowOff>114300</xdr:rowOff>
    </xdr:from>
    <xdr:to>
      <xdr:col>8</xdr:col>
      <xdr:colOff>449580</xdr:colOff>
      <xdr:row>275</xdr:row>
      <xdr:rowOff>121920</xdr:rowOff>
    </xdr:to>
    <xdr:sp macro="" textlink="">
      <xdr:nvSpPr>
        <xdr:cNvPr id="959" name="TextBox 958">
          <a:extLst>
            <a:ext uri="{FF2B5EF4-FFF2-40B4-BE49-F238E27FC236}">
              <a16:creationId xmlns:a16="http://schemas.microsoft.com/office/drawing/2014/main" id="{00000000-0008-0000-0200-0000BF030000}"/>
            </a:ext>
          </a:extLst>
        </xdr:cNvPr>
        <xdr:cNvSpPr txBox="1"/>
      </xdr:nvSpPr>
      <xdr:spPr>
        <a:xfrm>
          <a:off x="99060" y="51396900"/>
          <a:ext cx="3939540" cy="533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100" b="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Your guarded political views outwardly express your inwardly vulnerable psychosocial orientation</a:t>
          </a:r>
          <a:r>
            <a:rPr lang="en-US" sz="11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132079</xdr:colOff>
      <xdr:row>236</xdr:row>
      <xdr:rowOff>78738</xdr:rowOff>
    </xdr:from>
    <xdr:to>
      <xdr:col>12</xdr:col>
      <xdr:colOff>411480</xdr:colOff>
      <xdr:row>240</xdr:row>
      <xdr:rowOff>101598</xdr:rowOff>
    </xdr:to>
    <xdr:sp macro="" textlink="">
      <xdr:nvSpPr>
        <xdr:cNvPr id="980" name="TextBox: Politics defined">
          <a:extLst>
            <a:ext uri="{FF2B5EF4-FFF2-40B4-BE49-F238E27FC236}">
              <a16:creationId xmlns:a16="http://schemas.microsoft.com/office/drawing/2014/main" id="{00000000-0008-0000-0200-0000D4030000}"/>
            </a:ext>
          </a:extLst>
        </xdr:cNvPr>
        <xdr:cNvSpPr txBox="1"/>
      </xdr:nvSpPr>
      <xdr:spPr>
        <a:xfrm>
          <a:off x="253999" y="42842178"/>
          <a:ext cx="5727701" cy="731520"/>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Your</a:t>
          </a:r>
          <a:r>
            <a:rPr lang="en-US" sz="2000" b="1" baseline="0">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 political outlook outwardly expresses your inward psychosocial orientation</a:t>
          </a: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0</xdr:colOff>
      <xdr:row>183</xdr:row>
      <xdr:rowOff>160020</xdr:rowOff>
    </xdr:from>
    <xdr:to>
      <xdr:col>6</xdr:col>
      <xdr:colOff>266700</xdr:colOff>
      <xdr:row>191</xdr:row>
      <xdr:rowOff>99060</xdr:rowOff>
    </xdr:to>
    <xdr:sp macro="" textlink="">
      <xdr:nvSpPr>
        <xdr:cNvPr id="982" name="WIDE oriented">
          <a:extLst>
            <a:ext uri="{FF2B5EF4-FFF2-40B4-BE49-F238E27FC236}">
              <a16:creationId xmlns:a16="http://schemas.microsoft.com/office/drawing/2014/main" id="{00000000-0008-0000-0200-0000D6030000}"/>
            </a:ext>
          </a:extLst>
        </xdr:cNvPr>
        <xdr:cNvSpPr/>
      </xdr:nvSpPr>
      <xdr:spPr>
        <a:xfrm>
          <a:off x="121920" y="31645860"/>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WIDE</a:t>
          </a:r>
          <a:endParaRPr lang="en-US" sz="54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focus</a:t>
          </a:r>
          <a:endParaRPr lang="en-US" sz="54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100257</xdr:colOff>
      <xdr:row>183</xdr:row>
      <xdr:rowOff>187499</xdr:rowOff>
    </xdr:from>
    <xdr:to>
      <xdr:col>12</xdr:col>
      <xdr:colOff>366957</xdr:colOff>
      <xdr:row>191</xdr:row>
      <xdr:rowOff>126539</xdr:rowOff>
    </xdr:to>
    <xdr:sp macro="" textlink="">
      <xdr:nvSpPr>
        <xdr:cNvPr id="983" name="DEEP oriented">
          <a:extLst>
            <a:ext uri="{FF2B5EF4-FFF2-40B4-BE49-F238E27FC236}">
              <a16:creationId xmlns:a16="http://schemas.microsoft.com/office/drawing/2014/main" id="{00000000-0008-0000-0200-0000D7030000}"/>
            </a:ext>
          </a:extLst>
        </xdr:cNvPr>
        <xdr:cNvSpPr/>
      </xdr:nvSpPr>
      <xdr:spPr>
        <a:xfrm>
          <a:off x="3193977" y="31673339"/>
          <a:ext cx="2743200" cy="1371600"/>
        </a:xfrm>
        <a:prstGeom prst="rect">
          <a:avLst/>
        </a:prstGeom>
        <a:noFill/>
      </xdr:spPr>
      <xdr:txBody>
        <a:bodyPr spcFirstLastPara="1" wrap="square" lIns="91440" tIns="45720" rIns="91440" bIns="45720" numCol="1">
          <a:prstTxWarp prst="textButton">
            <a:avLst>
              <a:gd name="adj" fmla="val 10900490"/>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spc="30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DEEP</a:t>
          </a:r>
          <a:r>
            <a:rPr lang="en-US" sz="5400" b="1">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focus</a:t>
          </a:r>
        </a:p>
      </xdr:txBody>
    </xdr:sp>
    <xdr:clientData/>
  </xdr:twoCellAnchor>
  <xdr:twoCellAnchor>
    <xdr:from>
      <xdr:col>1</xdr:col>
      <xdr:colOff>7620</xdr:colOff>
      <xdr:row>148</xdr:row>
      <xdr:rowOff>22860</xdr:rowOff>
    </xdr:from>
    <xdr:to>
      <xdr:col>13</xdr:col>
      <xdr:colOff>7620</xdr:colOff>
      <xdr:row>155</xdr:row>
      <xdr:rowOff>167640</xdr:rowOff>
    </xdr:to>
    <xdr:sp macro="" textlink="">
      <xdr:nvSpPr>
        <xdr:cNvPr id="997" name="You believe whatever serves your needs.">
          <a:extLst>
            <a:ext uri="{FF2B5EF4-FFF2-40B4-BE49-F238E27FC236}">
              <a16:creationId xmlns:a16="http://schemas.microsoft.com/office/drawing/2014/main" id="{00000000-0008-0000-0200-0000E5030000}"/>
            </a:ext>
          </a:extLst>
        </xdr:cNvPr>
        <xdr:cNvSpPr txBox="1">
          <a:spLocks/>
        </xdr:cNvSpPr>
      </xdr:nvSpPr>
      <xdr:spPr>
        <a:xfrm>
          <a:off x="129540" y="32362140"/>
          <a:ext cx="5943600" cy="13716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In anankelogy, this is called the </a:t>
          </a:r>
          <a:r>
            <a:rPr lang="en-US" sz="1200" b="0" i="1">
              <a:solidFill>
                <a:sysClr val="windowText" lastClr="000000"/>
              </a:solidFill>
              <a:latin typeface="Tahoma" panose="020B0604030504040204" pitchFamily="34" charset="0"/>
              <a:ea typeface="Tahoma" panose="020B0604030504040204" pitchFamily="34" charset="0"/>
              <a:cs typeface="Tahoma" panose="020B0604030504040204" pitchFamily="34" charset="0"/>
            </a:rPr>
            <a:t>need-experience funnel</a:t>
          </a: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It sees a </a:t>
          </a:r>
          <a:r>
            <a:rPr lang="en-US" sz="1200" b="1">
              <a:solidFill>
                <a:sysClr val="windowText" lastClr="000000"/>
              </a:solidFill>
              <a:latin typeface="Tahoma" panose="020B0604030504040204" pitchFamily="34" charset="0"/>
              <a:ea typeface="Tahoma" panose="020B0604030504040204" pitchFamily="34" charset="0"/>
              <a:cs typeface="Tahoma" panose="020B0604030504040204" pitchFamily="34" charset="0"/>
            </a:rPr>
            <a:t>false comparison </a:t>
          </a: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when trying to contrast the</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more common needs shared by liberals and conservatives alike. It sees a </a:t>
          </a:r>
          <a:r>
            <a:rPr lang="en-US" sz="120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false equivalency </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when conflating liberal and conservative outlooks to serve these more common needs. </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can remember this need-experience funnel by its accidental acroynm. Can we now all agree that politics is full of CRAP?</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99</xdr:row>
      <xdr:rowOff>60963</xdr:rowOff>
    </xdr:from>
    <xdr:to>
      <xdr:col>14</xdr:col>
      <xdr:colOff>0</xdr:colOff>
      <xdr:row>105</xdr:row>
      <xdr:rowOff>4575</xdr:rowOff>
    </xdr:to>
    <xdr:grpSp>
      <xdr:nvGrpSpPr>
        <xdr:cNvPr id="3" name="Group 2">
          <a:extLst>
            <a:ext uri="{FF2B5EF4-FFF2-40B4-BE49-F238E27FC236}">
              <a16:creationId xmlns:a16="http://schemas.microsoft.com/office/drawing/2014/main" id="{00000000-0008-0000-0200-000003000000}"/>
            </a:ext>
          </a:extLst>
        </xdr:cNvPr>
        <xdr:cNvGrpSpPr/>
      </xdr:nvGrpSpPr>
      <xdr:grpSpPr>
        <a:xfrm>
          <a:off x="45720" y="20505423"/>
          <a:ext cx="6217920" cy="1429512"/>
          <a:chOff x="91440" y="12268201"/>
          <a:chExt cx="6134100" cy="1464644"/>
        </a:xfrm>
      </xdr:grpSpPr>
      <xdr:sp macro="" textlink="">
        <xdr:nvSpPr>
          <xdr:cNvPr id="992" name="TextBox 991">
            <a:extLst>
              <a:ext uri="{FF2B5EF4-FFF2-40B4-BE49-F238E27FC236}">
                <a16:creationId xmlns:a16="http://schemas.microsoft.com/office/drawing/2014/main" id="{00000000-0008-0000-0200-0000E0030000}"/>
              </a:ext>
            </a:extLst>
          </xdr:cNvPr>
          <xdr:cNvSpPr txBox="1"/>
        </xdr:nvSpPr>
        <xdr:spPr>
          <a:xfrm>
            <a:off x="91440" y="12481561"/>
            <a:ext cx="350520" cy="11887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baseline="0">
                <a:latin typeface="Tahoma" panose="020B0604030504040204" pitchFamily="34" charset="0"/>
                <a:ea typeface="Tahoma" panose="020B0604030504040204" pitchFamily="34" charset="0"/>
                <a:cs typeface="Tahoma" panose="020B0604030504040204" pitchFamily="34" charset="0"/>
              </a:rPr>
              <a:t>1.</a:t>
            </a:r>
          </a:p>
          <a:p>
            <a:pPr algn="l"/>
            <a:endPar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algn="l"/>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2.</a:t>
            </a:r>
          </a:p>
          <a:p>
            <a:pPr algn="l"/>
            <a:endPar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algn="l"/>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3.</a:t>
            </a:r>
          </a:p>
          <a:p>
            <a:pPr algn="l"/>
            <a:endParaRPr lang="en-US" sz="11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998" name="TextBox 997">
            <a:extLst>
              <a:ext uri="{FF2B5EF4-FFF2-40B4-BE49-F238E27FC236}">
                <a16:creationId xmlns:a16="http://schemas.microsoft.com/office/drawing/2014/main" id="{00000000-0008-0000-0200-0000E6030000}"/>
              </a:ext>
            </a:extLst>
          </xdr:cNvPr>
          <xdr:cNvSpPr txBox="1"/>
        </xdr:nvSpPr>
        <xdr:spPr>
          <a:xfrm>
            <a:off x="281940" y="12481561"/>
            <a:ext cx="5943600" cy="12512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50" baseline="0">
                <a:ln>
                  <a:solidFill>
                    <a:schemeClr val="tx1"/>
                  </a:solidFill>
                </a:ln>
                <a:latin typeface="Tahoma" panose="020B0604030504040204" pitchFamily="34" charset="0"/>
                <a:ea typeface="Tahoma" panose="020B0604030504040204" pitchFamily="34" charset="0"/>
                <a:cs typeface="Tahoma" panose="020B0604030504040204" pitchFamily="34" charset="0"/>
              </a:rPr>
              <a:t>Politics favors broad generalizations over your specific needs</a:t>
            </a:r>
            <a:r>
              <a:rPr lang="en-US" sz="1150" baseline="0">
                <a:latin typeface="Tahoma" panose="020B0604030504040204" pitchFamily="34" charset="0"/>
                <a:ea typeface="Tahoma" panose="020B0604030504040204" pitchFamily="34" charset="0"/>
                <a:cs typeface="Tahoma" panose="020B0604030504040204" pitchFamily="34" charset="0"/>
              </a:rPr>
              <a:t>. We become easily polarized over generalizations that poorly fit our specific needs.</a:t>
            </a:r>
          </a:p>
          <a:p>
            <a:pPr marL="0" marR="0" lvl="0" indent="0" algn="l" defTabSz="914400" eaLnBrk="1" fontAlgn="auto" latinLnBrk="0" hangingPunct="1">
              <a:lnSpc>
                <a:spcPct val="100000"/>
              </a:lnSpc>
              <a:spcBef>
                <a:spcPts val="0"/>
              </a:spcBef>
              <a:spcAft>
                <a:spcPts val="0"/>
              </a:spcAft>
              <a:buClrTx/>
              <a:buSzTx/>
              <a:buFontTx/>
              <a:buNone/>
              <a:tabLst/>
              <a:defRPr/>
            </a:pPr>
            <a:r>
              <a:rPr lang="en-US" sz="1150" baseline="0">
                <a:ln>
                  <a:solidFill>
                    <a:schemeClr val="tx1"/>
                  </a:solidFill>
                </a:ln>
                <a:latin typeface="Tahoma" panose="020B0604030504040204" pitchFamily="34" charset="0"/>
                <a:ea typeface="Tahoma" panose="020B0604030504040204" pitchFamily="34" charset="0"/>
                <a:cs typeface="Tahoma" panose="020B0604030504040204" pitchFamily="34" charset="0"/>
              </a:rPr>
              <a:t>Politics shapes legal agreements to address public-facing </a:t>
            </a:r>
            <a:r>
              <a:rPr lang="en-US" sz="115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needs</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We become easily polarized by alienating laws, as they coerce compliance against our priority of needs.</a:t>
            </a:r>
          </a:p>
          <a:p>
            <a:pPr marL="0" marR="0" lvl="0" indent="0" algn="l" defTabSz="914400" eaLnBrk="1" fontAlgn="auto" latinLnBrk="0" hangingPunct="1">
              <a:lnSpc>
                <a:spcPct val="100000"/>
              </a:lnSpc>
              <a:spcBef>
                <a:spcPts val="0"/>
              </a:spcBef>
              <a:spcAft>
                <a:spcPts val="0"/>
              </a:spcAft>
              <a:buClrTx/>
              <a:buSzTx/>
              <a:buFontTx/>
              <a:buNone/>
              <a:tabLst/>
              <a:defRPr/>
            </a:pPr>
            <a:r>
              <a:rPr lang="en-US" sz="115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Politics mitigates between contrasting situationally-prioritized needs</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We become easily polarized by mutual defensiveness toward each other's situational needs.</a:t>
            </a:r>
          </a:p>
          <a:p>
            <a:pPr algn="l"/>
            <a:endParaRPr lang="en-US" sz="115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999" name="TextBox 998">
            <a:extLst>
              <a:ext uri="{FF2B5EF4-FFF2-40B4-BE49-F238E27FC236}">
                <a16:creationId xmlns:a16="http://schemas.microsoft.com/office/drawing/2014/main" id="{00000000-0008-0000-0200-0000E7030000}"/>
              </a:ext>
            </a:extLst>
          </xdr:cNvPr>
          <xdr:cNvSpPr txBox="1"/>
        </xdr:nvSpPr>
        <xdr:spPr>
          <a:xfrm>
            <a:off x="99060" y="12268201"/>
            <a:ext cx="6035040" cy="2971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a:solidFill>
                  <a:schemeClr val="dk1"/>
                </a:solidFill>
                <a:latin typeface="Tahoma" panose="020B0604030504040204" pitchFamily="34" charset="0"/>
                <a:ea typeface="Tahoma" panose="020B0604030504040204" pitchFamily="34" charset="0"/>
                <a:cs typeface="Tahoma" panose="020B0604030504040204" pitchFamily="34" charset="0"/>
              </a:rPr>
              <a:t>This</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packs three dynamics fueling polarized politics.</a:t>
            </a:r>
            <a:endParaRPr lang="en-US" sz="1200">
              <a:solidFill>
                <a:schemeClr val="dk1"/>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7620</xdr:colOff>
      <xdr:row>188</xdr:row>
      <xdr:rowOff>68580</xdr:rowOff>
    </xdr:from>
    <xdr:to>
      <xdr:col>6</xdr:col>
      <xdr:colOff>365760</xdr:colOff>
      <xdr:row>194</xdr:row>
      <xdr:rowOff>114300</xdr:rowOff>
    </xdr:to>
    <xdr:sp macro="" textlink="">
      <xdr:nvSpPr>
        <xdr:cNvPr id="1002" name="You believe whatever serves your needs.">
          <a:extLst>
            <a:ext uri="{FF2B5EF4-FFF2-40B4-BE49-F238E27FC236}">
              <a16:creationId xmlns:a16="http://schemas.microsoft.com/office/drawing/2014/main" id="{00000000-0008-0000-0200-0000EA030000}"/>
            </a:ext>
          </a:extLst>
        </xdr:cNvPr>
        <xdr:cNvSpPr txBox="1">
          <a:spLocks/>
        </xdr:cNvSpPr>
      </xdr:nvSpPr>
      <xdr:spPr>
        <a:xfrm>
          <a:off x="129540" y="32461200"/>
          <a:ext cx="2834640" cy="10972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If your </a:t>
          </a:r>
          <a:r>
            <a:rPr lang="en-US" sz="1050" b="0" i="1">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self-needs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resolve</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more than your </a:t>
          </a:r>
          <a:r>
            <a:rPr lang="en-US" sz="1050" b="0" i="1" baseline="0">
              <a:ln>
                <a:solidFill>
                  <a:srgbClr val="2D143C"/>
                </a:solidFill>
              </a:ln>
              <a:solidFill>
                <a:srgbClr val="2D143C"/>
              </a:solidFill>
              <a:latin typeface="Tahoma" panose="020B0604030504040204" pitchFamily="34" charset="0"/>
              <a:ea typeface="Tahoma" panose="020B0604030504040204" pitchFamily="34" charset="0"/>
              <a:cs typeface="Tahoma" panose="020B0604030504040204" pitchFamily="34" charset="0"/>
            </a:rPr>
            <a:t>social-needs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tend to </a:t>
          </a:r>
          <a:r>
            <a:rPr lang="en-US" sz="105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focus wide</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 naturally focus more toward the needs of the disadvantaged. You yearn for inclusiveness, for what we can do more for each other, and for social equality for better lives.</a:t>
          </a:r>
          <a:endPar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137160</xdr:colOff>
      <xdr:row>188</xdr:row>
      <xdr:rowOff>68580</xdr:rowOff>
    </xdr:from>
    <xdr:to>
      <xdr:col>13</xdr:col>
      <xdr:colOff>0</xdr:colOff>
      <xdr:row>194</xdr:row>
      <xdr:rowOff>114300</xdr:rowOff>
    </xdr:to>
    <xdr:sp macro="" textlink="">
      <xdr:nvSpPr>
        <xdr:cNvPr id="1003" name="You believe whatever serves your needs.">
          <a:extLst>
            <a:ext uri="{FF2B5EF4-FFF2-40B4-BE49-F238E27FC236}">
              <a16:creationId xmlns:a16="http://schemas.microsoft.com/office/drawing/2014/main" id="{00000000-0008-0000-0200-0000EB030000}"/>
            </a:ext>
          </a:extLst>
        </xdr:cNvPr>
        <xdr:cNvSpPr txBox="1">
          <a:spLocks/>
        </xdr:cNvSpPr>
      </xdr:nvSpPr>
      <xdr:spPr>
        <a:xfrm>
          <a:off x="3230880" y="32461200"/>
          <a:ext cx="2834640" cy="10972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If your </a:t>
          </a:r>
          <a:r>
            <a:rPr lang="en-US" sz="1050" b="0" i="1">
              <a:ln>
                <a:solidFill>
                  <a:srgbClr val="2D143C"/>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resolve more than your </a:t>
          </a:r>
          <a:r>
            <a:rPr lang="en-US" sz="1050" b="0" i="1">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self-needs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tend to </a:t>
          </a:r>
          <a:r>
            <a:rPr lang="en-US" sz="105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focus deep</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 naturally focus more towards the needs of the resourceful. You yearn for cohesiveness, for what we can do more for ourselves, and for personal responsibility for better lives.</a:t>
          </a:r>
          <a:endPar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22860</xdr:colOff>
      <xdr:row>194</xdr:row>
      <xdr:rowOff>152400</xdr:rowOff>
    </xdr:from>
    <xdr:to>
      <xdr:col>12</xdr:col>
      <xdr:colOff>441960</xdr:colOff>
      <xdr:row>196</xdr:row>
      <xdr:rowOff>76200</xdr:rowOff>
    </xdr:to>
    <xdr:sp macro="" textlink="">
      <xdr:nvSpPr>
        <xdr:cNvPr id="1004" name="You believe whatever serves your needs.">
          <a:extLst>
            <a:ext uri="{FF2B5EF4-FFF2-40B4-BE49-F238E27FC236}">
              <a16:creationId xmlns:a16="http://schemas.microsoft.com/office/drawing/2014/main" id="{00000000-0008-0000-0200-0000EC030000}"/>
            </a:ext>
          </a:extLst>
        </xdr:cNvPr>
        <xdr:cNvSpPr txBox="1">
          <a:spLocks/>
        </xdr:cNvSpPr>
      </xdr:nvSpPr>
      <xdr:spPr>
        <a:xfrm>
          <a:off x="144780" y="33596580"/>
          <a:ext cx="5867400" cy="27432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spc="-1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Your situation first focuses your needs. Your</a:t>
          </a:r>
          <a:r>
            <a:rPr lang="en-US" sz="1050" b="0" spc="-1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politics arrive after, to give them shared expression.</a:t>
          </a:r>
          <a:endParaRPr lang="en-US" sz="1050" b="0" spc="-1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228600</xdr:colOff>
      <xdr:row>273</xdr:row>
      <xdr:rowOff>15240</xdr:rowOff>
    </xdr:from>
    <xdr:to>
      <xdr:col>12</xdr:col>
      <xdr:colOff>487680</xdr:colOff>
      <xdr:row>285</xdr:row>
      <xdr:rowOff>152400</xdr:rowOff>
    </xdr:to>
    <xdr:grpSp>
      <xdr:nvGrpSpPr>
        <xdr:cNvPr id="1006" name="Group 1005">
          <a:extLst>
            <a:ext uri="{FF2B5EF4-FFF2-40B4-BE49-F238E27FC236}">
              <a16:creationId xmlns:a16="http://schemas.microsoft.com/office/drawing/2014/main" id="{00000000-0008-0000-0200-0000EE030000}"/>
            </a:ext>
          </a:extLst>
        </xdr:cNvPr>
        <xdr:cNvGrpSpPr/>
      </xdr:nvGrpSpPr>
      <xdr:grpSpPr>
        <a:xfrm>
          <a:off x="3863340" y="59946540"/>
          <a:ext cx="2270760" cy="2240280"/>
          <a:chOff x="7452360" y="100683060"/>
          <a:chExt cx="2240280" cy="2240280"/>
        </a:xfrm>
      </xdr:grpSpPr>
      <xdr:sp macro="" textlink="">
        <xdr:nvSpPr>
          <xdr:cNvPr id="1007" name="Oval 1006">
            <a:extLst>
              <a:ext uri="{FF2B5EF4-FFF2-40B4-BE49-F238E27FC236}">
                <a16:creationId xmlns:a16="http://schemas.microsoft.com/office/drawing/2014/main" id="{00000000-0008-0000-0200-0000EF030000}"/>
              </a:ext>
            </a:extLst>
          </xdr:cNvPr>
          <xdr:cNvSpPr>
            <a:spLocks noChangeAspect="1"/>
          </xdr:cNvSpPr>
        </xdr:nvSpPr>
        <xdr:spPr>
          <a:xfrm>
            <a:off x="7452360" y="100683060"/>
            <a:ext cx="2240280" cy="2240280"/>
          </a:xfrm>
          <a:prstGeom prst="ellipse">
            <a:avLst/>
          </a:prstGeom>
          <a:gradFill flip="none" rotWithShape="1">
            <a:gsLst>
              <a:gs pos="79000">
                <a:srgbClr val="4B1E64">
                  <a:shade val="30000"/>
                  <a:satMod val="115000"/>
                </a:srgbClr>
              </a:gs>
              <a:gs pos="0">
                <a:srgbClr val="F0CDFF"/>
              </a:gs>
              <a:gs pos="100000">
                <a:srgbClr val="7030A0"/>
              </a:gs>
            </a:gsLst>
            <a:path path="circle">
              <a:fillToRect l="50000" t="50000" r="50000" b="5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08" name="Oval 1007">
            <a:extLst>
              <a:ext uri="{FF2B5EF4-FFF2-40B4-BE49-F238E27FC236}">
                <a16:creationId xmlns:a16="http://schemas.microsoft.com/office/drawing/2014/main" id="{00000000-0008-0000-0200-0000F0030000}"/>
              </a:ext>
            </a:extLst>
          </xdr:cNvPr>
          <xdr:cNvSpPr>
            <a:spLocks noChangeAspect="1"/>
          </xdr:cNvSpPr>
        </xdr:nvSpPr>
        <xdr:spPr>
          <a:xfrm rot="328935">
            <a:off x="7744972" y="100985088"/>
            <a:ext cx="1645920" cy="1645920"/>
          </a:xfrm>
          <a:prstGeom prst="ellipse">
            <a:avLst/>
          </a:prstGeom>
          <a:gradFill>
            <a:gsLst>
              <a:gs pos="0">
                <a:srgbClr val="D2FFE6"/>
              </a:gs>
              <a:gs pos="100000">
                <a:srgbClr val="96FFC8"/>
              </a:gs>
            </a:gsLst>
            <a:path path="circle">
              <a:fillToRect l="50000" t="50000" r="50000" b="50000"/>
            </a:path>
          </a:gra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t"/>
          <a:lstStyle/>
          <a:p>
            <a:pPr algn="l"/>
            <a:endParaRPr lang="en-US" sz="1100"/>
          </a:p>
        </xdr:txBody>
      </xdr:sp>
      <xdr:sp macro="" textlink="">
        <xdr:nvSpPr>
          <xdr:cNvPr id="1009" name="Rectangle 1008">
            <a:extLst>
              <a:ext uri="{FF2B5EF4-FFF2-40B4-BE49-F238E27FC236}">
                <a16:creationId xmlns:a16="http://schemas.microsoft.com/office/drawing/2014/main" id="{00000000-0008-0000-0200-0000F1030000}"/>
              </a:ext>
            </a:extLst>
          </xdr:cNvPr>
          <xdr:cNvSpPr>
            <a:spLocks noChangeAspect="1"/>
          </xdr:cNvSpPr>
        </xdr:nvSpPr>
        <xdr:spPr>
          <a:xfrm rot="16200000">
            <a:off x="7907694" y="101139770"/>
            <a:ext cx="1325880" cy="1325880"/>
          </a:xfrm>
          <a:prstGeom prst="rect">
            <a:avLst/>
          </a:prstGeom>
          <a:noFill/>
        </xdr:spPr>
        <xdr:txBody>
          <a:bodyPr wrap="none" lIns="91440" tIns="45720" rIns="91440" bIns="45720">
            <a:prstTxWarp prst="textCircle">
              <a:avLst>
                <a:gd name="adj" fmla="val 12144837"/>
              </a:avLst>
            </a:prstTxWarp>
            <a:noAutofit/>
            <a:scene3d>
              <a:camera prst="orthographicFront"/>
              <a:lightRig rig="threePt" dir="t"/>
            </a:scene3d>
            <a:sp3d extrusionH="57150">
              <a:bevelT w="50800" h="38100" prst="riblet"/>
            </a:sp3d>
          </a:bodyPr>
          <a:lstStyle/>
          <a:p>
            <a:pPr algn="ctr"/>
            <a:r>
              <a:rPr lang="en-US" sz="1800" b="1" cap="none" spc="0">
                <a:ln w="0">
                  <a:solidFill>
                    <a:srgbClr val="C00000"/>
                  </a:solidFill>
                </a:ln>
                <a:solidFill>
                  <a:srgbClr val="C80000"/>
                </a:solidFill>
                <a:effectLst>
                  <a:glow rad="12700">
                    <a:schemeClr val="bg1">
                      <a:alpha val="65000"/>
                    </a:schemeClr>
                  </a:glow>
                  <a:outerShdw blurRad="25400" dir="5400000" sx="102000" sy="102000" algn="ctr" rotWithShape="0">
                    <a:prstClr val="black"/>
                  </a:outerShdw>
                </a:effectLst>
                <a:latin typeface="Arial Black" panose="020B0A04020102020204" pitchFamily="34" charset="0"/>
              </a:rPr>
              <a:t>YOUR VULNERABLY FELT NEEDS</a:t>
            </a:r>
          </a:p>
        </xdr:txBody>
      </xdr:sp>
      <xdr:sp macro="" textlink="">
        <xdr:nvSpPr>
          <xdr:cNvPr id="1010" name="Rectangle 1009">
            <a:extLst>
              <a:ext uri="{FF2B5EF4-FFF2-40B4-BE49-F238E27FC236}">
                <a16:creationId xmlns:a16="http://schemas.microsoft.com/office/drawing/2014/main" id="{00000000-0008-0000-0200-0000F2030000}"/>
              </a:ext>
            </a:extLst>
          </xdr:cNvPr>
          <xdr:cNvSpPr>
            <a:spLocks noChangeAspect="1"/>
          </xdr:cNvSpPr>
        </xdr:nvSpPr>
        <xdr:spPr>
          <a:xfrm rot="16200000">
            <a:off x="7649649" y="100882915"/>
            <a:ext cx="1828800" cy="1828800"/>
          </a:xfrm>
          <a:prstGeom prst="rect">
            <a:avLst/>
          </a:prstGeom>
          <a:noFill/>
        </xdr:spPr>
        <xdr:txBody>
          <a:bodyPr wrap="none" lIns="91440" tIns="45720" rIns="91440" bIns="45720">
            <a:prstTxWarp prst="textCircle">
              <a:avLst>
                <a:gd name="adj" fmla="val 11057429"/>
              </a:avLst>
            </a:prstTxWarp>
            <a:noAutofit/>
          </a:bodyPr>
          <a:lstStyle/>
          <a:p>
            <a:pPr algn="ctr"/>
            <a:r>
              <a:rPr lang="en-US" sz="1800" b="0" cap="none" spc="0">
                <a:ln w="0">
                  <a:solidFill>
                    <a:schemeClr val="bg1"/>
                  </a:solidFill>
                </a:ln>
                <a:solidFill>
                  <a:schemeClr val="bg1"/>
                </a:solidFill>
                <a:effectLst>
                  <a:glow rad="25400">
                    <a:srgbClr val="7030A0"/>
                  </a:glow>
                  <a:outerShdw blurRad="25400" dist="12700" dir="5400000" algn="tl" rotWithShape="0">
                    <a:schemeClr val="dk1"/>
                  </a:outerShdw>
                </a:effectLst>
                <a:latin typeface="Arial Black" panose="020B0A04020102020204" pitchFamily="34" charset="0"/>
              </a:rPr>
              <a:t>YOUR GUARDED POLITICAL OPINIONS</a:t>
            </a:r>
          </a:p>
        </xdr:txBody>
      </xdr:sp>
    </xdr:grpSp>
    <xdr:clientData/>
  </xdr:twoCellAnchor>
  <xdr:twoCellAnchor>
    <xdr:from>
      <xdr:col>0</xdr:col>
      <xdr:colOff>43148</xdr:colOff>
      <xdr:row>288</xdr:row>
      <xdr:rowOff>1</xdr:rowOff>
    </xdr:from>
    <xdr:to>
      <xdr:col>12</xdr:col>
      <xdr:colOff>346043</xdr:colOff>
      <xdr:row>289</xdr:row>
      <xdr:rowOff>160020</xdr:rowOff>
    </xdr:to>
    <xdr:sp macro="" textlink="">
      <xdr:nvSpPr>
        <xdr:cNvPr id="1012" name="TextBox 1011">
          <a:extLst>
            <a:ext uri="{FF2B5EF4-FFF2-40B4-BE49-F238E27FC236}">
              <a16:creationId xmlns:a16="http://schemas.microsoft.com/office/drawing/2014/main" id="{00000000-0008-0000-0200-0000F4030000}"/>
            </a:ext>
          </a:extLst>
        </xdr:cNvPr>
        <xdr:cNvSpPr txBox="1"/>
      </xdr:nvSpPr>
      <xdr:spPr>
        <a:xfrm>
          <a:off x="43148" y="60759976"/>
          <a:ext cx="5760720" cy="3219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400" b="1">
              <a:latin typeface="Tahoma" panose="020B0604030504040204" pitchFamily="34" charset="0"/>
              <a:ea typeface="Tahoma" panose="020B0604030504040204" pitchFamily="34" charset="0"/>
              <a:cs typeface="Tahoma" panose="020B0604030504040204" pitchFamily="34" charset="0"/>
            </a:rPr>
            <a:t>Let's understand others as</a:t>
          </a:r>
          <a:r>
            <a:rPr lang="en-US" sz="1400" b="1" baseline="0">
              <a:latin typeface="Tahoma" panose="020B0604030504040204" pitchFamily="34" charset="0"/>
              <a:ea typeface="Tahoma" panose="020B0604030504040204" pitchFamily="34" charset="0"/>
              <a:cs typeface="Tahoma" panose="020B0604030504040204" pitchFamily="34" charset="0"/>
            </a:rPr>
            <a:t> we expect others to understand us</a:t>
          </a:r>
          <a:r>
            <a:rPr lang="en-US" sz="1400" b="1">
              <a:latin typeface="Tahoma" panose="020B0604030504040204" pitchFamily="34" charset="0"/>
              <a:ea typeface="Tahoma" panose="020B0604030504040204" pitchFamily="34" charset="0"/>
              <a:cs typeface="Tahoma" panose="020B0604030504040204" pitchFamily="34" charset="0"/>
            </a:rPr>
            <a:t>. </a:t>
          </a:r>
          <a:endParaRPr lang="en-US" sz="1200" b="1"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15240</xdr:colOff>
      <xdr:row>372</xdr:row>
      <xdr:rowOff>129540</xdr:rowOff>
    </xdr:from>
    <xdr:to>
      <xdr:col>12</xdr:col>
      <xdr:colOff>438150</xdr:colOff>
      <xdr:row>388</xdr:row>
      <xdr:rowOff>60969</xdr:rowOff>
    </xdr:to>
    <xdr:grpSp>
      <xdr:nvGrpSpPr>
        <xdr:cNvPr id="43" name="Group 42">
          <a:extLst>
            <a:ext uri="{FF2B5EF4-FFF2-40B4-BE49-F238E27FC236}">
              <a16:creationId xmlns:a16="http://schemas.microsoft.com/office/drawing/2014/main" id="{00000000-0008-0000-0200-00002B000000}"/>
            </a:ext>
          </a:extLst>
        </xdr:cNvPr>
        <xdr:cNvGrpSpPr/>
      </xdr:nvGrpSpPr>
      <xdr:grpSpPr>
        <a:xfrm>
          <a:off x="129540" y="77838300"/>
          <a:ext cx="5955030" cy="2727969"/>
          <a:chOff x="137160" y="69364860"/>
          <a:chExt cx="5871210" cy="2727969"/>
        </a:xfrm>
      </xdr:grpSpPr>
      <xdr:sp macro="" textlink="">
        <xdr:nvSpPr>
          <xdr:cNvPr id="860" name="WIDE oriented">
            <a:extLst>
              <a:ext uri="{FF2B5EF4-FFF2-40B4-BE49-F238E27FC236}">
                <a16:creationId xmlns:a16="http://schemas.microsoft.com/office/drawing/2014/main" id="{00000000-0008-0000-0200-00005C030000}"/>
              </a:ext>
            </a:extLst>
          </xdr:cNvPr>
          <xdr:cNvSpPr/>
        </xdr:nvSpPr>
        <xdr:spPr>
          <a:xfrm>
            <a:off x="144780" y="69364860"/>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WIDE</a:t>
            </a:r>
            <a:endParaRPr lang="en-US" sz="54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oriented</a:t>
            </a:r>
            <a:endParaRPr lang="en-US" sz="54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861" name="DEEP oriented">
            <a:extLst>
              <a:ext uri="{FF2B5EF4-FFF2-40B4-BE49-F238E27FC236}">
                <a16:creationId xmlns:a16="http://schemas.microsoft.com/office/drawing/2014/main" id="{00000000-0008-0000-0200-00005D030000}"/>
              </a:ext>
            </a:extLst>
          </xdr:cNvPr>
          <xdr:cNvSpPr/>
        </xdr:nvSpPr>
        <xdr:spPr>
          <a:xfrm>
            <a:off x="3262557" y="69369479"/>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spc="30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DEEP</a:t>
            </a:r>
            <a:r>
              <a:rPr lang="en-US" sz="5400" b="1">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oriented</a:t>
            </a:r>
          </a:p>
        </xdr:txBody>
      </xdr:sp>
      <xdr:grpSp>
        <xdr:nvGrpSpPr>
          <xdr:cNvPr id="1250" name="Group 1249">
            <a:extLst>
              <a:ext uri="{FF2B5EF4-FFF2-40B4-BE49-F238E27FC236}">
                <a16:creationId xmlns:a16="http://schemas.microsoft.com/office/drawing/2014/main" id="{00000000-0008-0000-0200-0000E2040000}"/>
              </a:ext>
            </a:extLst>
          </xdr:cNvPr>
          <xdr:cNvGrpSpPr/>
        </xdr:nvGrpSpPr>
        <xdr:grpSpPr>
          <a:xfrm>
            <a:off x="137160" y="70264029"/>
            <a:ext cx="2743200" cy="1828800"/>
            <a:chOff x="167640" y="48415786"/>
            <a:chExt cx="2743200" cy="1977081"/>
          </a:xfrm>
        </xdr:grpSpPr>
        <xdr:grpSp>
          <xdr:nvGrpSpPr>
            <xdr:cNvPr id="1251" name="Group 1250">
              <a:extLst>
                <a:ext uri="{FF2B5EF4-FFF2-40B4-BE49-F238E27FC236}">
                  <a16:creationId xmlns:a16="http://schemas.microsoft.com/office/drawing/2014/main" id="{00000000-0008-0000-0200-0000E3040000}"/>
                </a:ext>
              </a:extLst>
            </xdr:cNvPr>
            <xdr:cNvGrpSpPr>
              <a:grpSpLocks noChangeAspect="1"/>
            </xdr:cNvGrpSpPr>
          </xdr:nvGrpSpPr>
          <xdr:grpSpPr>
            <a:xfrm>
              <a:off x="167640" y="48415786"/>
              <a:ext cx="2743200" cy="1977081"/>
              <a:chOff x="0" y="-1"/>
              <a:chExt cx="3200400" cy="2240695"/>
            </a:xfrm>
          </xdr:grpSpPr>
          <xdr:sp macro="" textlink="">
            <xdr:nvSpPr>
              <xdr:cNvPr id="1256" name="Rectangle 1255">
                <a:extLst>
                  <a:ext uri="{FF2B5EF4-FFF2-40B4-BE49-F238E27FC236}">
                    <a16:creationId xmlns:a16="http://schemas.microsoft.com/office/drawing/2014/main" id="{00000000-0008-0000-0200-0000E8040000}"/>
                  </a:ext>
                </a:extLst>
              </xdr:cNvPr>
              <xdr:cNvSpPr/>
            </xdr:nvSpPr>
            <xdr:spPr>
              <a:xfrm>
                <a:off x="0" y="-1"/>
                <a:ext cx="3200400" cy="2240695"/>
              </a:xfrm>
              <a:prstGeom prst="rect">
                <a:avLst/>
              </a:prstGeom>
              <a:solidFill>
                <a:srgbClr val="C2DAF0">
                  <a:alpha val="84706"/>
                </a:srgbClr>
              </a:solidFill>
              <a:ln w="28575">
                <a:solidFill>
                  <a:srgbClr val="0070C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1257" name="Group 1256">
                <a:extLst>
                  <a:ext uri="{FF2B5EF4-FFF2-40B4-BE49-F238E27FC236}">
                    <a16:creationId xmlns:a16="http://schemas.microsoft.com/office/drawing/2014/main" id="{00000000-0008-0000-0200-0000E9040000}"/>
                  </a:ext>
                </a:extLst>
              </xdr:cNvPr>
              <xdr:cNvGrpSpPr/>
            </xdr:nvGrpSpPr>
            <xdr:grpSpPr>
              <a:xfrm>
                <a:off x="88900" y="99060"/>
                <a:ext cx="1112520" cy="1371600"/>
                <a:chOff x="-124460" y="0"/>
                <a:chExt cx="1112520" cy="1371600"/>
              </a:xfrm>
            </xdr:grpSpPr>
            <xdr:sp macro="" textlink="">
              <xdr:nvSpPr>
                <xdr:cNvPr id="1258" name="Rectangle 1257">
                  <a:extLst>
                    <a:ext uri="{FF2B5EF4-FFF2-40B4-BE49-F238E27FC236}">
                      <a16:creationId xmlns:a16="http://schemas.microsoft.com/office/drawing/2014/main" id="{00000000-0008-0000-0200-0000EA040000}"/>
                    </a:ext>
                  </a:extLst>
                </xdr:cNvPr>
                <xdr:cNvSpPr/>
              </xdr:nvSpPr>
              <xdr:spPr>
                <a:xfrm>
                  <a:off x="-124460" y="0"/>
                  <a:ext cx="457200" cy="1371600"/>
                </a:xfrm>
                <a:prstGeom prst="rect">
                  <a:avLst/>
                </a:prstGeom>
                <a:gradFill>
                  <a:gsLst>
                    <a:gs pos="0">
                      <a:schemeClr val="accent4">
                        <a:lumMod val="20000"/>
                        <a:lumOff val="80000"/>
                      </a:schemeClr>
                    </a:gs>
                    <a:gs pos="69000">
                      <a:schemeClr val="accent4">
                        <a:lumMod val="20000"/>
                        <a:lumOff val="80000"/>
                      </a:schemeClr>
                    </a:gs>
                    <a:gs pos="7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1259" name="Rectangle 1258">
                  <a:extLst>
                    <a:ext uri="{FF2B5EF4-FFF2-40B4-BE49-F238E27FC236}">
                      <a16:creationId xmlns:a16="http://schemas.microsoft.com/office/drawing/2014/main" id="{00000000-0008-0000-0200-0000EB040000}"/>
                    </a:ext>
                  </a:extLst>
                </xdr:cNvPr>
                <xdr:cNvSpPr/>
              </xdr:nvSpPr>
              <xdr:spPr>
                <a:xfrm>
                  <a:off x="530860" y="0"/>
                  <a:ext cx="457200" cy="1371600"/>
                </a:xfrm>
                <a:prstGeom prst="rect">
                  <a:avLst/>
                </a:prstGeom>
                <a:gradFill>
                  <a:gsLst>
                    <a:gs pos="0">
                      <a:schemeClr val="accent4">
                        <a:lumMod val="20000"/>
                        <a:lumOff val="80000"/>
                      </a:schemeClr>
                    </a:gs>
                    <a:gs pos="79000">
                      <a:schemeClr val="accent4">
                        <a:lumMod val="20000"/>
                        <a:lumOff val="80000"/>
                      </a:schemeClr>
                    </a:gs>
                    <a:gs pos="80000">
                      <a:srgbClr val="F0CDFF"/>
                    </a:gs>
                    <a:gs pos="100000">
                      <a:srgbClr val="D7B9FF"/>
                    </a:gs>
                  </a:gsLst>
                  <a:lin ang="5400000" scaled="1"/>
                </a:gradFill>
                <a:ln>
                  <a:solidFill>
                    <a:srgbClr val="7030A0"/>
                  </a:solidFill>
                </a:ln>
                <a:effectLst>
                  <a:glow rad="63500">
                    <a:schemeClr val="accent5">
                      <a:satMod val="175000"/>
                      <a:alpha val="40000"/>
                    </a:schemeClr>
                  </a:glow>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1260" name="Straight Connector 1259">
                  <a:extLst>
                    <a:ext uri="{FF2B5EF4-FFF2-40B4-BE49-F238E27FC236}">
                      <a16:creationId xmlns:a16="http://schemas.microsoft.com/office/drawing/2014/main" id="{00000000-0008-0000-0200-0000EC040000}"/>
                    </a:ext>
                  </a:extLst>
                </xdr:cNvPr>
                <xdr:cNvCxnSpPr/>
              </xdr:nvCxnSpPr>
              <xdr:spPr>
                <a:xfrm flipH="1" flipV="1">
                  <a:off x="332740" y="968564"/>
                  <a:ext cx="198120" cy="129740"/>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52" name="TextBox 1251">
              <a:extLst>
                <a:ext uri="{FF2B5EF4-FFF2-40B4-BE49-F238E27FC236}">
                  <a16:creationId xmlns:a16="http://schemas.microsoft.com/office/drawing/2014/main" id="{00000000-0008-0000-0200-0000E4040000}"/>
                </a:ext>
              </a:extLst>
            </xdr:cNvPr>
            <xdr:cNvSpPr txBox="1"/>
          </xdr:nvSpPr>
          <xdr:spPr>
            <a:xfrm>
              <a:off x="228600" y="48626516"/>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1253" name="TextBox 1252">
              <a:extLst>
                <a:ext uri="{FF2B5EF4-FFF2-40B4-BE49-F238E27FC236}">
                  <a16:creationId xmlns:a16="http://schemas.microsoft.com/office/drawing/2014/main" id="{00000000-0008-0000-0200-0000E5040000}"/>
                </a:ext>
              </a:extLst>
            </xdr:cNvPr>
            <xdr:cNvSpPr txBox="1"/>
          </xdr:nvSpPr>
          <xdr:spPr>
            <a:xfrm>
              <a:off x="792480" y="48626516"/>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1254" name="TextBox 1253">
              <a:extLst>
                <a:ext uri="{FF2B5EF4-FFF2-40B4-BE49-F238E27FC236}">
                  <a16:creationId xmlns:a16="http://schemas.microsoft.com/office/drawing/2014/main" id="{00000000-0008-0000-0200-0000E6040000}"/>
                </a:ext>
              </a:extLst>
            </xdr:cNvPr>
            <xdr:cNvSpPr txBox="1"/>
          </xdr:nvSpPr>
          <xdr:spPr>
            <a:xfrm>
              <a:off x="1333500" y="49096072"/>
              <a:ext cx="141732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00" b="0" i="0">
                  <a:latin typeface="Arial Narrow" panose="020B0606020202030204" pitchFamily="34" charset="0"/>
                </a:rPr>
                <a:t>Your</a:t>
              </a:r>
              <a:r>
                <a:rPr lang="en-US" sz="1000" baseline="0">
                  <a:latin typeface="Arial Narrow" panose="020B0606020202030204" pitchFamily="34" charset="0"/>
                </a:rPr>
                <a:t> relatively more </a:t>
              </a:r>
              <a:r>
                <a:rPr lang="en-US" sz="1000">
                  <a:latin typeface="Arial Narrow" panose="020B0606020202030204" pitchFamily="34" charset="0"/>
                </a:rPr>
                <a:t>resolved </a:t>
              </a:r>
              <a:r>
                <a:rPr lang="en-US" sz="1000" b="1" i="1">
                  <a:latin typeface="Arial Narrow" panose="020B0606020202030204" pitchFamily="34" charset="0"/>
                </a:rPr>
                <a:t>self-needs</a:t>
              </a:r>
              <a:r>
                <a:rPr lang="en-US" sz="1000">
                  <a:latin typeface="Arial Narrow" panose="020B0606020202030204" pitchFamily="34" charset="0"/>
                </a:rPr>
                <a:t> </a:t>
              </a:r>
              <a:r>
                <a:rPr lang="en-US" sz="1000" b="1">
                  <a:latin typeface="Arial Narrow" panose="020B0606020202030204" pitchFamily="34" charset="0"/>
                </a:rPr>
                <a:t>prioritize</a:t>
              </a:r>
              <a:r>
                <a:rPr lang="en-US" sz="1000">
                  <a:latin typeface="Arial Narrow" panose="020B0606020202030204" pitchFamily="34" charset="0"/>
                </a:rPr>
                <a:t> your defenses to remain painless.</a:t>
              </a:r>
            </a:p>
          </xdr:txBody>
        </xdr:sp>
        <xdr:sp macro="" textlink="">
          <xdr:nvSpPr>
            <xdr:cNvPr id="1255" name="TextBox 1254">
              <a:extLst>
                <a:ext uri="{FF2B5EF4-FFF2-40B4-BE49-F238E27FC236}">
                  <a16:creationId xmlns:a16="http://schemas.microsoft.com/office/drawing/2014/main" id="{00000000-0008-0000-0200-0000E7040000}"/>
                </a:ext>
              </a:extLst>
            </xdr:cNvPr>
            <xdr:cNvSpPr txBox="1"/>
          </xdr:nvSpPr>
          <xdr:spPr>
            <a:xfrm>
              <a:off x="1318260" y="48494710"/>
              <a:ext cx="141732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0" i="0">
                  <a:latin typeface="Arial Narrow" panose="020B0606020202030204" pitchFamily="34" charset="0"/>
                </a:rPr>
                <a:t>Your</a:t>
              </a:r>
              <a:r>
                <a:rPr lang="en-US" sz="1100" baseline="0">
                  <a:latin typeface="Arial Narrow" panose="020B0606020202030204" pitchFamily="34" charset="0"/>
                </a:rPr>
                <a:t> less</a:t>
              </a:r>
              <a:r>
                <a:rPr lang="en-US" sz="1100">
                  <a:latin typeface="Arial Narrow" panose="020B0606020202030204" pitchFamily="34" charset="0"/>
                </a:rPr>
                <a:t> resolved </a:t>
              </a:r>
              <a:r>
                <a:rPr lang="en-US" sz="1100" b="1" i="1" spc="-30" baseline="0">
                  <a:latin typeface="Arial Narrow" panose="020B0606020202030204" pitchFamily="34" charset="0"/>
                </a:rPr>
                <a:t>social-needs</a:t>
              </a:r>
              <a:r>
                <a:rPr lang="en-US" sz="1100" spc="-30" baseline="0">
                  <a:latin typeface="Arial Narrow" panose="020B0606020202030204" pitchFamily="34" charset="0"/>
                </a:rPr>
                <a:t> </a:t>
              </a:r>
              <a:r>
                <a:rPr lang="en-US" sz="1100" b="1" spc="-30" baseline="0">
                  <a:latin typeface="Arial Narrow" panose="020B0606020202030204" pitchFamily="34" charset="0"/>
                </a:rPr>
                <a:t>prioritize</a:t>
              </a:r>
              <a:r>
                <a:rPr lang="en-US" sz="1100" spc="-30" baseline="0">
                  <a:latin typeface="Arial Narrow" panose="020B0606020202030204" pitchFamily="34" charset="0"/>
                </a:rPr>
                <a:t> your beliefs and actions for their relief.</a:t>
              </a:r>
            </a:p>
          </xdr:txBody>
        </xdr:sp>
        <xdr:sp macro="" textlink="">
          <xdr:nvSpPr>
            <xdr:cNvPr id="1272" name="TextBox 1271">
              <a:extLst>
                <a:ext uri="{FF2B5EF4-FFF2-40B4-BE49-F238E27FC236}">
                  <a16:creationId xmlns:a16="http://schemas.microsoft.com/office/drawing/2014/main" id="{00000000-0008-0000-0200-0000F8040000}"/>
                </a:ext>
              </a:extLst>
            </xdr:cNvPr>
            <xdr:cNvSpPr txBox="1"/>
          </xdr:nvSpPr>
          <xdr:spPr>
            <a:xfrm>
              <a:off x="213360" y="49766784"/>
              <a:ext cx="260604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50" b="0" i="0">
                  <a:latin typeface="Arial" panose="020B0604020202020204" pitchFamily="34" charset="0"/>
                  <a:cs typeface="Arial" panose="020B0604020202020204" pitchFamily="34" charset="0"/>
                </a:rPr>
                <a:t>These priorities </a:t>
              </a:r>
              <a:r>
                <a:rPr lang="en-US" sz="1050" b="1" i="1">
                  <a:latin typeface="Arial" panose="020B0604020202020204" pitchFamily="34" charset="0"/>
                  <a:cs typeface="Arial" panose="020B0604020202020204" pitchFamily="34" charset="0"/>
                </a:rPr>
                <a:t>orient</a:t>
              </a:r>
              <a:r>
                <a:rPr lang="en-US" sz="1050" b="0" i="0">
                  <a:latin typeface="Arial" panose="020B0604020202020204" pitchFamily="34" charset="0"/>
                  <a:cs typeface="Arial" panose="020B0604020202020204" pitchFamily="34" charset="0"/>
                </a:rPr>
                <a:t> you toward </a:t>
              </a:r>
              <a:r>
                <a:rPr lang="en-US" sz="1050" b="1" i="0">
                  <a:latin typeface="Arial" panose="020B0604020202020204" pitchFamily="34" charset="0"/>
                  <a:cs typeface="Arial" panose="020B0604020202020204" pitchFamily="34" charset="0"/>
                </a:rPr>
                <a:t>wider</a:t>
              </a:r>
              <a:r>
                <a:rPr lang="en-US" sz="1050" b="0" i="0">
                  <a:latin typeface="Arial" panose="020B0604020202020204" pitchFamily="34" charset="0"/>
                  <a:cs typeface="Arial" panose="020B0604020202020204" pitchFamily="34" charset="0"/>
                </a:rPr>
                <a:t> relating to ease your psychosocial needs. </a:t>
              </a:r>
              <a:r>
                <a:rPr lang="en-US" sz="1050" b="1" i="0">
                  <a:solidFill>
                    <a:schemeClr val="accent5">
                      <a:lumMod val="50000"/>
                    </a:schemeClr>
                  </a:solidFill>
                  <a:effectLst>
                    <a:glow rad="63500">
                      <a:schemeClr val="accent5">
                        <a:lumMod val="20000"/>
                        <a:lumOff val="80000"/>
                      </a:schemeClr>
                    </a:glow>
                  </a:effectLst>
                  <a:latin typeface="Verdana" panose="020B0604030504040204" pitchFamily="34" charset="0"/>
                  <a:ea typeface="Verdana" panose="020B0604030504040204" pitchFamily="34" charset="0"/>
                  <a:cs typeface="Arial" panose="020B0604020202020204" pitchFamily="34" charset="0"/>
                </a:rPr>
                <a:t>Liberalism</a:t>
              </a:r>
              <a:r>
                <a:rPr lang="en-US" sz="1050" b="0" i="0" baseline="0">
                  <a:latin typeface="Arial" panose="020B0604020202020204" pitchFamily="34" charset="0"/>
                  <a:cs typeface="Arial" panose="020B0604020202020204" pitchFamily="34" charset="0"/>
                </a:rPr>
                <a:t> emerged to express it.</a:t>
              </a:r>
              <a:r>
                <a:rPr lang="en-US" sz="1050" b="0" i="0">
                  <a:latin typeface="Arial" panose="020B0604020202020204" pitchFamily="34" charset="0"/>
                  <a:cs typeface="Arial" panose="020B0604020202020204" pitchFamily="34" charset="0"/>
                </a:rPr>
                <a:t> </a:t>
              </a:r>
              <a:endParaRPr lang="en-US" sz="1050">
                <a:latin typeface="Arial" panose="020B0604020202020204" pitchFamily="34" charset="0"/>
                <a:cs typeface="Arial" panose="020B0604020202020204" pitchFamily="34" charset="0"/>
              </a:endParaRPr>
            </a:p>
          </xdr:txBody>
        </xdr:sp>
      </xdr:grpSp>
      <xdr:grpSp>
        <xdr:nvGrpSpPr>
          <xdr:cNvPr id="1261" name="Group 1260">
            <a:extLst>
              <a:ext uri="{FF2B5EF4-FFF2-40B4-BE49-F238E27FC236}">
                <a16:creationId xmlns:a16="http://schemas.microsoft.com/office/drawing/2014/main" id="{00000000-0008-0000-0200-0000ED040000}"/>
              </a:ext>
            </a:extLst>
          </xdr:cNvPr>
          <xdr:cNvGrpSpPr/>
        </xdr:nvGrpSpPr>
        <xdr:grpSpPr>
          <a:xfrm>
            <a:off x="3268980" y="70264029"/>
            <a:ext cx="2739390" cy="1828800"/>
            <a:chOff x="3299460" y="48415786"/>
            <a:chExt cx="2743200" cy="1977081"/>
          </a:xfrm>
        </xdr:grpSpPr>
        <xdr:grpSp>
          <xdr:nvGrpSpPr>
            <xdr:cNvPr id="1262" name="Group 1261">
              <a:extLst>
                <a:ext uri="{FF2B5EF4-FFF2-40B4-BE49-F238E27FC236}">
                  <a16:creationId xmlns:a16="http://schemas.microsoft.com/office/drawing/2014/main" id="{00000000-0008-0000-0200-0000EE040000}"/>
                </a:ext>
              </a:extLst>
            </xdr:cNvPr>
            <xdr:cNvGrpSpPr>
              <a:grpSpLocks noChangeAspect="1"/>
            </xdr:cNvGrpSpPr>
          </xdr:nvGrpSpPr>
          <xdr:grpSpPr>
            <a:xfrm>
              <a:off x="3299460" y="48415786"/>
              <a:ext cx="2743200" cy="1977081"/>
              <a:chOff x="0" y="-1"/>
              <a:chExt cx="3200400" cy="2240695"/>
            </a:xfrm>
          </xdr:grpSpPr>
          <xdr:sp macro="" textlink="">
            <xdr:nvSpPr>
              <xdr:cNvPr id="1267" name="Rectangle 1266">
                <a:extLst>
                  <a:ext uri="{FF2B5EF4-FFF2-40B4-BE49-F238E27FC236}">
                    <a16:creationId xmlns:a16="http://schemas.microsoft.com/office/drawing/2014/main" id="{00000000-0008-0000-0200-0000F3040000}"/>
                  </a:ext>
                </a:extLst>
              </xdr:cNvPr>
              <xdr:cNvSpPr/>
            </xdr:nvSpPr>
            <xdr:spPr>
              <a:xfrm>
                <a:off x="0" y="-1"/>
                <a:ext cx="3200400" cy="2240695"/>
              </a:xfrm>
              <a:prstGeom prst="rect">
                <a:avLst/>
              </a:prstGeom>
              <a:solidFill>
                <a:srgbClr val="FFC1C1">
                  <a:alpha val="80000"/>
                </a:srgbClr>
              </a:solidFill>
              <a:ln w="28575">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1268" name="Group 1267">
                <a:extLst>
                  <a:ext uri="{FF2B5EF4-FFF2-40B4-BE49-F238E27FC236}">
                    <a16:creationId xmlns:a16="http://schemas.microsoft.com/office/drawing/2014/main" id="{00000000-0008-0000-0200-0000F4040000}"/>
                  </a:ext>
                </a:extLst>
              </xdr:cNvPr>
              <xdr:cNvGrpSpPr/>
            </xdr:nvGrpSpPr>
            <xdr:grpSpPr>
              <a:xfrm>
                <a:off x="1993832" y="99060"/>
                <a:ext cx="1112521" cy="1371600"/>
                <a:chOff x="1780472" y="0"/>
                <a:chExt cx="1112521" cy="1371600"/>
              </a:xfrm>
            </xdr:grpSpPr>
            <xdr:sp macro="" textlink="">
              <xdr:nvSpPr>
                <xdr:cNvPr id="1269" name="Rectangle 1268">
                  <a:extLst>
                    <a:ext uri="{FF2B5EF4-FFF2-40B4-BE49-F238E27FC236}">
                      <a16:creationId xmlns:a16="http://schemas.microsoft.com/office/drawing/2014/main" id="{00000000-0008-0000-0200-0000F5040000}"/>
                    </a:ext>
                  </a:extLst>
                </xdr:cNvPr>
                <xdr:cNvSpPr/>
              </xdr:nvSpPr>
              <xdr:spPr>
                <a:xfrm>
                  <a:off x="1780472" y="0"/>
                  <a:ext cx="457201" cy="1371600"/>
                </a:xfrm>
                <a:prstGeom prst="rect">
                  <a:avLst/>
                </a:prstGeom>
                <a:gradFill>
                  <a:gsLst>
                    <a:gs pos="0">
                      <a:schemeClr val="accent4">
                        <a:lumMod val="20000"/>
                        <a:lumOff val="80000"/>
                      </a:schemeClr>
                    </a:gs>
                    <a:gs pos="79000">
                      <a:schemeClr val="accent4">
                        <a:lumMod val="20000"/>
                        <a:lumOff val="80000"/>
                      </a:schemeClr>
                    </a:gs>
                    <a:gs pos="8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1270" name="Rectangle 1269">
                  <a:extLst>
                    <a:ext uri="{FF2B5EF4-FFF2-40B4-BE49-F238E27FC236}">
                      <a16:creationId xmlns:a16="http://schemas.microsoft.com/office/drawing/2014/main" id="{00000000-0008-0000-0200-0000F6040000}"/>
                    </a:ext>
                  </a:extLst>
                </xdr:cNvPr>
                <xdr:cNvSpPr/>
              </xdr:nvSpPr>
              <xdr:spPr>
                <a:xfrm>
                  <a:off x="2435793" y="0"/>
                  <a:ext cx="457200" cy="1371600"/>
                </a:xfrm>
                <a:prstGeom prst="rect">
                  <a:avLst/>
                </a:prstGeom>
                <a:gradFill>
                  <a:gsLst>
                    <a:gs pos="0">
                      <a:schemeClr val="accent4">
                        <a:lumMod val="20000"/>
                        <a:lumOff val="80000"/>
                      </a:schemeClr>
                    </a:gs>
                    <a:gs pos="69000">
                      <a:schemeClr val="accent4">
                        <a:lumMod val="20000"/>
                        <a:lumOff val="80000"/>
                      </a:schemeClr>
                    </a:gs>
                    <a:gs pos="70000">
                      <a:srgbClr val="F0CDFF"/>
                    </a:gs>
                    <a:gs pos="100000">
                      <a:srgbClr val="D7B9FF"/>
                    </a:gs>
                  </a:gsLst>
                  <a:lin ang="5400000" scaled="1"/>
                </a:gradFill>
                <a:ln>
                  <a:solidFill>
                    <a:srgbClr val="7030A0"/>
                  </a:solidFill>
                </a:ln>
                <a:effectLst>
                  <a:glow rad="63500">
                    <a:srgbClr val="FF3C3C">
                      <a:alpha val="40000"/>
                    </a:srgbClr>
                  </a:glow>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1271" name="Straight Connector 1270">
                  <a:extLst>
                    <a:ext uri="{FF2B5EF4-FFF2-40B4-BE49-F238E27FC236}">
                      <a16:creationId xmlns:a16="http://schemas.microsoft.com/office/drawing/2014/main" id="{00000000-0008-0000-0200-0000F7040000}"/>
                    </a:ext>
                  </a:extLst>
                </xdr:cNvPr>
                <xdr:cNvCxnSpPr/>
              </xdr:nvCxnSpPr>
              <xdr:spPr>
                <a:xfrm flipV="1">
                  <a:off x="2237673" y="967135"/>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63" name="TextBox 1262">
              <a:extLst>
                <a:ext uri="{FF2B5EF4-FFF2-40B4-BE49-F238E27FC236}">
                  <a16:creationId xmlns:a16="http://schemas.microsoft.com/office/drawing/2014/main" id="{00000000-0008-0000-0200-0000EF040000}"/>
                </a:ext>
              </a:extLst>
            </xdr:cNvPr>
            <xdr:cNvSpPr txBox="1"/>
          </xdr:nvSpPr>
          <xdr:spPr>
            <a:xfrm>
              <a:off x="5000840" y="48610040"/>
              <a:ext cx="411481"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1264" name="TextBox 1263">
              <a:extLst>
                <a:ext uri="{FF2B5EF4-FFF2-40B4-BE49-F238E27FC236}">
                  <a16:creationId xmlns:a16="http://schemas.microsoft.com/office/drawing/2014/main" id="{00000000-0008-0000-0200-0000F0040000}"/>
                </a:ext>
              </a:extLst>
            </xdr:cNvPr>
            <xdr:cNvSpPr txBox="1"/>
          </xdr:nvSpPr>
          <xdr:spPr>
            <a:xfrm>
              <a:off x="5564719" y="48610040"/>
              <a:ext cx="411481"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1265" name="TextBox 1264">
              <a:extLst>
                <a:ext uri="{FF2B5EF4-FFF2-40B4-BE49-F238E27FC236}">
                  <a16:creationId xmlns:a16="http://schemas.microsoft.com/office/drawing/2014/main" id="{00000000-0008-0000-0200-0000F1040000}"/>
                </a:ext>
              </a:extLst>
            </xdr:cNvPr>
            <xdr:cNvSpPr txBox="1"/>
          </xdr:nvSpPr>
          <xdr:spPr>
            <a:xfrm>
              <a:off x="3505242" y="48511186"/>
              <a:ext cx="1419291"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50" b="0" i="0">
                  <a:latin typeface="Arial Narrow" panose="020B0606020202030204" pitchFamily="34" charset="0"/>
                </a:rPr>
                <a:t>Your</a:t>
              </a:r>
              <a:r>
                <a:rPr lang="en-US" sz="1050" baseline="0">
                  <a:latin typeface="Arial Narrow" panose="020B0606020202030204" pitchFamily="34" charset="0"/>
                </a:rPr>
                <a:t> less</a:t>
              </a:r>
              <a:r>
                <a:rPr lang="en-US" sz="1050">
                  <a:latin typeface="Arial Narrow" panose="020B0606020202030204" pitchFamily="34" charset="0"/>
                </a:rPr>
                <a:t> resolved </a:t>
              </a:r>
              <a:r>
                <a:rPr lang="en-US" sz="1050" b="1" i="1">
                  <a:latin typeface="Arial Narrow" panose="020B0606020202030204" pitchFamily="34" charset="0"/>
                </a:rPr>
                <a:t>self-needs</a:t>
              </a:r>
              <a:r>
                <a:rPr lang="en-US" sz="1050">
                  <a:latin typeface="Arial Narrow" panose="020B0606020202030204" pitchFamily="34" charset="0"/>
                </a:rPr>
                <a:t> </a:t>
              </a:r>
              <a:r>
                <a:rPr lang="en-US" sz="1050" b="1">
                  <a:latin typeface="Arial Narrow" panose="020B0606020202030204" pitchFamily="34" charset="0"/>
                </a:rPr>
                <a:t>priortize</a:t>
              </a:r>
              <a:r>
                <a:rPr lang="en-US" sz="1050" baseline="0">
                  <a:latin typeface="Arial Narrow" panose="020B0606020202030204" pitchFamily="34" charset="0"/>
                </a:rPr>
                <a:t> your beliefs and actions for their relief.</a:t>
              </a:r>
              <a:endParaRPr lang="en-US" sz="1050">
                <a:latin typeface="Arial Narrow" panose="020B0606020202030204" pitchFamily="34" charset="0"/>
              </a:endParaRPr>
            </a:p>
          </xdr:txBody>
        </xdr:sp>
        <xdr:sp macro="" textlink="">
          <xdr:nvSpPr>
            <xdr:cNvPr id="1266" name="TextBox 1265">
              <a:extLst>
                <a:ext uri="{FF2B5EF4-FFF2-40B4-BE49-F238E27FC236}">
                  <a16:creationId xmlns:a16="http://schemas.microsoft.com/office/drawing/2014/main" id="{00000000-0008-0000-0200-0000F2040000}"/>
                </a:ext>
              </a:extLst>
            </xdr:cNvPr>
            <xdr:cNvSpPr txBox="1"/>
          </xdr:nvSpPr>
          <xdr:spPr>
            <a:xfrm>
              <a:off x="3496826" y="49104310"/>
              <a:ext cx="1419291"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00" b="0" i="0">
                  <a:latin typeface="Arial Narrow" panose="020B0606020202030204" pitchFamily="34" charset="0"/>
                </a:rPr>
                <a:t>Your</a:t>
              </a:r>
              <a:r>
                <a:rPr lang="en-US" sz="1000" baseline="0">
                  <a:latin typeface="Arial Narrow" panose="020B0606020202030204" pitchFamily="34" charset="0"/>
                </a:rPr>
                <a:t> relatively more </a:t>
              </a:r>
              <a:r>
                <a:rPr lang="en-US" sz="1000">
                  <a:latin typeface="Arial Narrow" panose="020B0606020202030204" pitchFamily="34" charset="0"/>
                </a:rPr>
                <a:t>resolved </a:t>
              </a:r>
              <a:r>
                <a:rPr lang="en-US" sz="1000" b="1" i="1" spc="-30" baseline="0">
                  <a:latin typeface="Arial Narrow" panose="020B0606020202030204" pitchFamily="34" charset="0"/>
                </a:rPr>
                <a:t>social-needs</a:t>
              </a:r>
              <a:r>
                <a:rPr lang="en-US" sz="1000" spc="-30" baseline="0">
                  <a:latin typeface="Arial Narrow" panose="020B0606020202030204" pitchFamily="34" charset="0"/>
                </a:rPr>
                <a:t> </a:t>
              </a:r>
              <a:r>
                <a:rPr lang="en-US" sz="1000" b="1" spc="-30" baseline="0">
                  <a:latin typeface="Arial Narrow" panose="020B0606020202030204" pitchFamily="34" charset="0"/>
                </a:rPr>
                <a:t>prioritize</a:t>
              </a:r>
              <a:r>
                <a:rPr lang="en-US" sz="1000" spc="-30" baseline="0">
                  <a:latin typeface="Arial Narrow" panose="020B0606020202030204" pitchFamily="34" charset="0"/>
                </a:rPr>
                <a:t> your defenses to remain painless.</a:t>
              </a:r>
            </a:p>
          </xdr:txBody>
        </xdr:sp>
        <xdr:sp macro="" textlink="">
          <xdr:nvSpPr>
            <xdr:cNvPr id="1273" name="TextBox 1272">
              <a:extLst>
                <a:ext uri="{FF2B5EF4-FFF2-40B4-BE49-F238E27FC236}">
                  <a16:creationId xmlns:a16="http://schemas.microsoft.com/office/drawing/2014/main" id="{00000000-0008-0000-0200-0000F9040000}"/>
                </a:ext>
              </a:extLst>
            </xdr:cNvPr>
            <xdr:cNvSpPr txBox="1"/>
          </xdr:nvSpPr>
          <xdr:spPr>
            <a:xfrm>
              <a:off x="3367106" y="49755101"/>
              <a:ext cx="2609665"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0" i="0">
                  <a:solidFill>
                    <a:schemeClr val="dk1"/>
                  </a:solidFill>
                  <a:effectLst/>
                  <a:latin typeface="Arial" panose="020B0604020202020204" pitchFamily="34" charset="0"/>
                  <a:ea typeface="+mn-ea"/>
                  <a:cs typeface="Arial" panose="020B0604020202020204" pitchFamily="34" charset="0"/>
                </a:rPr>
                <a:t>These priorities </a:t>
              </a:r>
              <a:r>
                <a:rPr lang="en-US" sz="1100" b="1" i="1">
                  <a:solidFill>
                    <a:schemeClr val="dk1"/>
                  </a:solidFill>
                  <a:effectLst/>
                  <a:latin typeface="Arial" panose="020B0604020202020204" pitchFamily="34" charset="0"/>
                  <a:ea typeface="+mn-ea"/>
                  <a:cs typeface="Arial" panose="020B0604020202020204" pitchFamily="34" charset="0"/>
                </a:rPr>
                <a:t>orient</a:t>
              </a:r>
              <a:r>
                <a:rPr lang="en-US" sz="1100" b="0" i="0">
                  <a:solidFill>
                    <a:schemeClr val="dk1"/>
                  </a:solidFill>
                  <a:effectLst/>
                  <a:latin typeface="Arial" panose="020B0604020202020204" pitchFamily="34" charset="0"/>
                  <a:ea typeface="+mn-ea"/>
                  <a:cs typeface="Arial" panose="020B0604020202020204" pitchFamily="34" charset="0"/>
                </a:rPr>
                <a:t> you toward </a:t>
              </a:r>
              <a:r>
                <a:rPr lang="en-US" sz="1100" b="1" i="0">
                  <a:solidFill>
                    <a:schemeClr val="dk1"/>
                  </a:solidFill>
                  <a:effectLst/>
                  <a:latin typeface="Arial" panose="020B0604020202020204" pitchFamily="34" charset="0"/>
                  <a:ea typeface="+mn-ea"/>
                  <a:cs typeface="Arial" panose="020B0604020202020204" pitchFamily="34" charset="0"/>
                </a:rPr>
                <a:t>deeper</a:t>
              </a:r>
              <a:r>
                <a:rPr lang="en-US" sz="1100" b="0" i="0">
                  <a:solidFill>
                    <a:schemeClr val="dk1"/>
                  </a:solidFill>
                  <a:effectLst/>
                  <a:latin typeface="Arial" panose="020B0604020202020204" pitchFamily="34" charset="0"/>
                  <a:ea typeface="+mn-ea"/>
                  <a:cs typeface="Arial" panose="020B0604020202020204" pitchFamily="34" charset="0"/>
                </a:rPr>
                <a:t> relating to ease your psychosocial needs. </a:t>
              </a:r>
              <a:r>
                <a:rPr lang="en-US" sz="1100" b="1" i="0">
                  <a:solidFill>
                    <a:srgbClr val="7D0000"/>
                  </a:solidFill>
                  <a:effectLst>
                    <a:glow rad="63500">
                      <a:srgbClr val="FFCCCC"/>
                    </a:glow>
                  </a:effectLst>
                  <a:latin typeface="Verdana" panose="020B0604030504040204" pitchFamily="34" charset="0"/>
                  <a:ea typeface="Verdana" panose="020B0604030504040204" pitchFamily="34" charset="0"/>
                  <a:cs typeface="Arial" panose="020B0604020202020204" pitchFamily="34" charset="0"/>
                </a:rPr>
                <a:t>Conservatism</a:t>
              </a:r>
              <a:r>
                <a:rPr lang="en-US" sz="1100" b="0" i="0" baseline="0">
                  <a:solidFill>
                    <a:schemeClr val="dk1"/>
                  </a:solidFill>
                  <a:effectLst/>
                  <a:latin typeface="Arial" panose="020B0604020202020204" pitchFamily="34" charset="0"/>
                  <a:ea typeface="+mn-ea"/>
                  <a:cs typeface="Arial" panose="020B0604020202020204" pitchFamily="34" charset="0"/>
                </a:rPr>
                <a:t> best expresses it.</a:t>
              </a:r>
              <a:r>
                <a:rPr lang="en-US" sz="1100" b="0" i="0">
                  <a:solidFill>
                    <a:schemeClr val="dk1"/>
                  </a:solidFill>
                  <a:effectLst/>
                  <a:latin typeface="Arial" panose="020B0604020202020204" pitchFamily="34" charset="0"/>
                  <a:ea typeface="+mn-ea"/>
                  <a:cs typeface="Arial" panose="020B0604020202020204" pitchFamily="34" charset="0"/>
                </a:rPr>
                <a:t> </a:t>
              </a:r>
              <a:endParaRPr lang="en-US" sz="1050">
                <a:effectLst/>
                <a:latin typeface="Arial" panose="020B0604020202020204" pitchFamily="34" charset="0"/>
                <a:cs typeface="Arial" panose="020B0604020202020204" pitchFamily="34" charset="0"/>
              </a:endParaRPr>
            </a:p>
          </xdr:txBody>
        </xdr:sp>
      </xdr:grpSp>
    </xdr:grpSp>
    <xdr:clientData/>
  </xdr:twoCellAnchor>
  <xdr:twoCellAnchor>
    <xdr:from>
      <xdr:col>0</xdr:col>
      <xdr:colOff>0</xdr:colOff>
      <xdr:row>554</xdr:row>
      <xdr:rowOff>53340</xdr:rowOff>
    </xdr:from>
    <xdr:to>
      <xdr:col>13</xdr:col>
      <xdr:colOff>99058</xdr:colOff>
      <xdr:row>599</xdr:row>
      <xdr:rowOff>134620</xdr:rowOff>
    </xdr:to>
    <xdr:grpSp>
      <xdr:nvGrpSpPr>
        <xdr:cNvPr id="1155" name="Group 1154">
          <a:extLst>
            <a:ext uri="{FF2B5EF4-FFF2-40B4-BE49-F238E27FC236}">
              <a16:creationId xmlns:a16="http://schemas.microsoft.com/office/drawing/2014/main" id="{00000000-0008-0000-0200-000083040000}"/>
            </a:ext>
          </a:extLst>
        </xdr:cNvPr>
        <xdr:cNvGrpSpPr/>
      </xdr:nvGrpSpPr>
      <xdr:grpSpPr>
        <a:xfrm>
          <a:off x="0" y="110573820"/>
          <a:ext cx="6248398" cy="8059420"/>
          <a:chOff x="15455900" y="60706000"/>
          <a:chExt cx="6375398" cy="7823200"/>
        </a:xfrm>
      </xdr:grpSpPr>
      <xdr:sp macro="" textlink="">
        <xdr:nvSpPr>
          <xdr:cNvPr id="1156" name="Rectangle 1155">
            <a:extLst>
              <a:ext uri="{FF2B5EF4-FFF2-40B4-BE49-F238E27FC236}">
                <a16:creationId xmlns:a16="http://schemas.microsoft.com/office/drawing/2014/main" id="{00000000-0008-0000-0200-000084040000}"/>
              </a:ext>
            </a:extLst>
          </xdr:cNvPr>
          <xdr:cNvSpPr/>
        </xdr:nvSpPr>
        <xdr:spPr>
          <a:xfrm>
            <a:off x="20421599" y="60706000"/>
            <a:ext cx="1409699"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57" name="Rectangle 1156">
            <a:extLst>
              <a:ext uri="{FF2B5EF4-FFF2-40B4-BE49-F238E27FC236}">
                <a16:creationId xmlns:a16="http://schemas.microsoft.com/office/drawing/2014/main" id="{00000000-0008-0000-0200-000085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nvGrpSpPr>
          <xdr:cNvPr id="1158" name="Group 1157">
            <a:extLst>
              <a:ext uri="{FF2B5EF4-FFF2-40B4-BE49-F238E27FC236}">
                <a16:creationId xmlns:a16="http://schemas.microsoft.com/office/drawing/2014/main" id="{00000000-0008-0000-0200-000086040000}"/>
              </a:ext>
            </a:extLst>
          </xdr:cNvPr>
          <xdr:cNvGrpSpPr/>
        </xdr:nvGrpSpPr>
        <xdr:grpSpPr>
          <a:xfrm>
            <a:off x="16306800" y="60706000"/>
            <a:ext cx="2296879" cy="7823200"/>
            <a:chOff x="3796580" y="60718700"/>
            <a:chExt cx="2296879" cy="7823200"/>
          </a:xfrm>
        </xdr:grpSpPr>
        <xdr:sp macro="" textlink="">
          <xdr:nvSpPr>
            <xdr:cNvPr id="1165" name="Freeform: Shape 1164">
              <a:extLst>
                <a:ext uri="{FF2B5EF4-FFF2-40B4-BE49-F238E27FC236}">
                  <a16:creationId xmlns:a16="http://schemas.microsoft.com/office/drawing/2014/main" id="{00000000-0008-0000-0200-00008D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6" name="Freeform: Shape 1165">
              <a:extLst>
                <a:ext uri="{FF2B5EF4-FFF2-40B4-BE49-F238E27FC236}">
                  <a16:creationId xmlns:a16="http://schemas.microsoft.com/office/drawing/2014/main" id="{00000000-0008-0000-0200-00008E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7" name="Freeform: Shape 1166">
              <a:extLst>
                <a:ext uri="{FF2B5EF4-FFF2-40B4-BE49-F238E27FC236}">
                  <a16:creationId xmlns:a16="http://schemas.microsoft.com/office/drawing/2014/main" id="{00000000-0008-0000-0200-00008F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8" name="Freeform: Shape 1167">
              <a:extLst>
                <a:ext uri="{FF2B5EF4-FFF2-40B4-BE49-F238E27FC236}">
                  <a16:creationId xmlns:a16="http://schemas.microsoft.com/office/drawing/2014/main" id="{00000000-0008-0000-0200-000090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9" name="Freeform: Shape 1168">
              <a:extLst>
                <a:ext uri="{FF2B5EF4-FFF2-40B4-BE49-F238E27FC236}">
                  <a16:creationId xmlns:a16="http://schemas.microsoft.com/office/drawing/2014/main" id="{00000000-0008-0000-0200-000091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159" name="Group 1158">
            <a:extLst>
              <a:ext uri="{FF2B5EF4-FFF2-40B4-BE49-F238E27FC236}">
                <a16:creationId xmlns:a16="http://schemas.microsoft.com/office/drawing/2014/main" id="{00000000-0008-0000-0200-000087040000}"/>
              </a:ext>
            </a:extLst>
          </xdr:cNvPr>
          <xdr:cNvGrpSpPr/>
        </xdr:nvGrpSpPr>
        <xdr:grpSpPr>
          <a:xfrm>
            <a:off x="18742660" y="60706000"/>
            <a:ext cx="2256239" cy="7823200"/>
            <a:chOff x="7845340" y="60718700"/>
            <a:chExt cx="2256239" cy="7823200"/>
          </a:xfrm>
        </xdr:grpSpPr>
        <xdr:sp macro="" textlink="">
          <xdr:nvSpPr>
            <xdr:cNvPr id="1160" name="Freeform: Shape 1159">
              <a:extLst>
                <a:ext uri="{FF2B5EF4-FFF2-40B4-BE49-F238E27FC236}">
                  <a16:creationId xmlns:a16="http://schemas.microsoft.com/office/drawing/2014/main" id="{00000000-0008-0000-0200-000088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1" name="Freeform: Shape 1160">
              <a:extLst>
                <a:ext uri="{FF2B5EF4-FFF2-40B4-BE49-F238E27FC236}">
                  <a16:creationId xmlns:a16="http://schemas.microsoft.com/office/drawing/2014/main" id="{00000000-0008-0000-0200-000089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2" name="Freeform: Shape 1161">
              <a:extLst>
                <a:ext uri="{FF2B5EF4-FFF2-40B4-BE49-F238E27FC236}">
                  <a16:creationId xmlns:a16="http://schemas.microsoft.com/office/drawing/2014/main" id="{00000000-0008-0000-0200-00008A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3" name="Freeform: Shape 1162">
              <a:extLst>
                <a:ext uri="{FF2B5EF4-FFF2-40B4-BE49-F238E27FC236}">
                  <a16:creationId xmlns:a16="http://schemas.microsoft.com/office/drawing/2014/main" id="{00000000-0008-0000-0200-00008B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4" name="Freeform: Shape 1163">
              <a:extLst>
                <a:ext uri="{FF2B5EF4-FFF2-40B4-BE49-F238E27FC236}">
                  <a16:creationId xmlns:a16="http://schemas.microsoft.com/office/drawing/2014/main" id="{00000000-0008-0000-0200-00008C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1</xdr:col>
      <xdr:colOff>7620</xdr:colOff>
      <xdr:row>560</xdr:row>
      <xdr:rowOff>8940</xdr:rowOff>
    </xdr:from>
    <xdr:to>
      <xdr:col>2</xdr:col>
      <xdr:colOff>291389</xdr:colOff>
      <xdr:row>571</xdr:row>
      <xdr:rowOff>101042</xdr:rowOff>
    </xdr:to>
    <xdr:grpSp>
      <xdr:nvGrpSpPr>
        <xdr:cNvPr id="1365" name="Group 1364">
          <a:extLst>
            <a:ext uri="{FF2B5EF4-FFF2-40B4-BE49-F238E27FC236}">
              <a16:creationId xmlns:a16="http://schemas.microsoft.com/office/drawing/2014/main" id="{00000000-0008-0000-0200-000055050000}"/>
            </a:ext>
          </a:extLst>
        </xdr:cNvPr>
        <xdr:cNvGrpSpPr>
          <a:grpSpLocks noChangeAspect="1"/>
        </xdr:cNvGrpSpPr>
      </xdr:nvGrpSpPr>
      <xdr:grpSpPr>
        <a:xfrm>
          <a:off x="121920" y="111580980"/>
          <a:ext cx="786689" cy="2096162"/>
          <a:chOff x="13620749" y="104774999"/>
          <a:chExt cx="1352551" cy="3438523"/>
        </a:xfrm>
      </xdr:grpSpPr>
      <xdr:grpSp>
        <xdr:nvGrpSpPr>
          <xdr:cNvPr id="1537" name="Group 1536">
            <a:extLst>
              <a:ext uri="{FF2B5EF4-FFF2-40B4-BE49-F238E27FC236}">
                <a16:creationId xmlns:a16="http://schemas.microsoft.com/office/drawing/2014/main" id="{00000000-0008-0000-0200-000001060000}"/>
              </a:ext>
            </a:extLst>
          </xdr:cNvPr>
          <xdr:cNvGrpSpPr/>
        </xdr:nvGrpSpPr>
        <xdr:grpSpPr>
          <a:xfrm>
            <a:off x="13620749" y="105470322"/>
            <a:ext cx="1053296" cy="2743200"/>
            <a:chOff x="13620749" y="105470322"/>
            <a:chExt cx="1053296" cy="2743200"/>
          </a:xfrm>
        </xdr:grpSpPr>
        <xdr:grpSp>
          <xdr:nvGrpSpPr>
            <xdr:cNvPr id="1539" name="Group 1538">
              <a:extLst>
                <a:ext uri="{FF2B5EF4-FFF2-40B4-BE49-F238E27FC236}">
                  <a16:creationId xmlns:a16="http://schemas.microsoft.com/office/drawing/2014/main" id="{00000000-0008-0000-0200-000003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44" name="Rectangle: Rounded Corners 1543">
                <a:extLst>
                  <a:ext uri="{FF2B5EF4-FFF2-40B4-BE49-F238E27FC236}">
                    <a16:creationId xmlns:a16="http://schemas.microsoft.com/office/drawing/2014/main" id="{00000000-0008-0000-0200-000008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5" name="Rectangle: Rounded Corners 1544">
                <a:extLst>
                  <a:ext uri="{FF2B5EF4-FFF2-40B4-BE49-F238E27FC236}">
                    <a16:creationId xmlns:a16="http://schemas.microsoft.com/office/drawing/2014/main" id="{00000000-0008-0000-0200-000009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6" name="Rectangle: Rounded Corners 1545">
                <a:extLst>
                  <a:ext uri="{FF2B5EF4-FFF2-40B4-BE49-F238E27FC236}">
                    <a16:creationId xmlns:a16="http://schemas.microsoft.com/office/drawing/2014/main" id="{00000000-0008-0000-0200-00000A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7" name="Rectangle: Rounded Corners 1546">
                <a:extLst>
                  <a:ext uri="{FF2B5EF4-FFF2-40B4-BE49-F238E27FC236}">
                    <a16:creationId xmlns:a16="http://schemas.microsoft.com/office/drawing/2014/main" id="{00000000-0008-0000-0200-00000B06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8" name="Rectangle: Rounded Corners 1547">
                <a:extLst>
                  <a:ext uri="{FF2B5EF4-FFF2-40B4-BE49-F238E27FC236}">
                    <a16:creationId xmlns:a16="http://schemas.microsoft.com/office/drawing/2014/main" id="{00000000-0008-0000-0200-00000C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9" name="Rectangle: Rounded Corners 1548">
                <a:extLst>
                  <a:ext uri="{FF2B5EF4-FFF2-40B4-BE49-F238E27FC236}">
                    <a16:creationId xmlns:a16="http://schemas.microsoft.com/office/drawing/2014/main" id="{00000000-0008-0000-0200-00000D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50" name="Rectangle: Rounded Corners 1549">
                <a:extLst>
                  <a:ext uri="{FF2B5EF4-FFF2-40B4-BE49-F238E27FC236}">
                    <a16:creationId xmlns:a16="http://schemas.microsoft.com/office/drawing/2014/main" id="{00000000-0008-0000-0200-00000E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40" name="Group 1539">
              <a:extLst>
                <a:ext uri="{FF2B5EF4-FFF2-40B4-BE49-F238E27FC236}">
                  <a16:creationId xmlns:a16="http://schemas.microsoft.com/office/drawing/2014/main" id="{00000000-0008-0000-0200-000004060000}"/>
                </a:ext>
              </a:extLst>
            </xdr:cNvPr>
            <xdr:cNvGrpSpPr/>
          </xdr:nvGrpSpPr>
          <xdr:grpSpPr>
            <a:xfrm>
              <a:off x="13679805" y="106093372"/>
              <a:ext cx="953589" cy="1109382"/>
              <a:chOff x="0" y="0"/>
              <a:chExt cx="1112520" cy="1371600"/>
            </a:xfrm>
          </xdr:grpSpPr>
          <xdr:sp macro="" textlink="">
            <xdr:nvSpPr>
              <xdr:cNvPr id="1541" name="Rectangle 1540">
                <a:extLst>
                  <a:ext uri="{FF2B5EF4-FFF2-40B4-BE49-F238E27FC236}">
                    <a16:creationId xmlns:a16="http://schemas.microsoft.com/office/drawing/2014/main" id="{00000000-0008-0000-0200-00000506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42" name="Rectangle 1541">
                <a:extLst>
                  <a:ext uri="{FF2B5EF4-FFF2-40B4-BE49-F238E27FC236}">
                    <a16:creationId xmlns:a16="http://schemas.microsoft.com/office/drawing/2014/main" id="{00000000-0008-0000-0200-00000606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43" name="Straight Connector 1542">
                <a:extLst>
                  <a:ext uri="{FF2B5EF4-FFF2-40B4-BE49-F238E27FC236}">
                    <a16:creationId xmlns:a16="http://schemas.microsoft.com/office/drawing/2014/main" id="{00000000-0008-0000-0200-00000706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38" name="Thought Bubble: Cloud 1537">
            <a:extLst>
              <a:ext uri="{FF2B5EF4-FFF2-40B4-BE49-F238E27FC236}">
                <a16:creationId xmlns:a16="http://schemas.microsoft.com/office/drawing/2014/main" id="{00000000-0008-0000-0200-00000206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9</xdr:col>
      <xdr:colOff>192020</xdr:colOff>
      <xdr:row>559</xdr:row>
      <xdr:rowOff>70257</xdr:rowOff>
    </xdr:from>
    <xdr:to>
      <xdr:col>10</xdr:col>
      <xdr:colOff>371547</xdr:colOff>
      <xdr:row>570</xdr:row>
      <xdr:rowOff>144954</xdr:rowOff>
    </xdr:to>
    <xdr:grpSp>
      <xdr:nvGrpSpPr>
        <xdr:cNvPr id="1374" name="Group 1373">
          <a:extLst>
            <a:ext uri="{FF2B5EF4-FFF2-40B4-BE49-F238E27FC236}">
              <a16:creationId xmlns:a16="http://schemas.microsoft.com/office/drawing/2014/main" id="{00000000-0008-0000-0200-00005E050000}"/>
            </a:ext>
          </a:extLst>
        </xdr:cNvPr>
        <xdr:cNvGrpSpPr>
          <a:grpSpLocks noChangeAspect="1"/>
        </xdr:cNvGrpSpPr>
      </xdr:nvGrpSpPr>
      <xdr:grpSpPr>
        <a:xfrm>
          <a:off x="4329680" y="111467037"/>
          <a:ext cx="682447" cy="2078757"/>
          <a:chOff x="14933087" y="104774975"/>
          <a:chExt cx="1171576" cy="3409972"/>
        </a:xfrm>
      </xdr:grpSpPr>
      <xdr:grpSp>
        <xdr:nvGrpSpPr>
          <xdr:cNvPr id="1411" name="Group 1410">
            <a:extLst>
              <a:ext uri="{FF2B5EF4-FFF2-40B4-BE49-F238E27FC236}">
                <a16:creationId xmlns:a16="http://schemas.microsoft.com/office/drawing/2014/main" id="{00000000-0008-0000-0200-000083050000}"/>
              </a:ext>
            </a:extLst>
          </xdr:cNvPr>
          <xdr:cNvGrpSpPr/>
        </xdr:nvGrpSpPr>
        <xdr:grpSpPr>
          <a:xfrm>
            <a:off x="14944724" y="105441747"/>
            <a:ext cx="1053296" cy="2743200"/>
            <a:chOff x="14944724" y="105441747"/>
            <a:chExt cx="1053296" cy="2743200"/>
          </a:xfrm>
        </xdr:grpSpPr>
        <xdr:grpSp>
          <xdr:nvGrpSpPr>
            <xdr:cNvPr id="1413" name="Group 1412">
              <a:extLst>
                <a:ext uri="{FF2B5EF4-FFF2-40B4-BE49-F238E27FC236}">
                  <a16:creationId xmlns:a16="http://schemas.microsoft.com/office/drawing/2014/main" id="{00000000-0008-0000-0200-000085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18" name="Rectangle: Rounded Corners 1417">
                <a:extLst>
                  <a:ext uri="{FF2B5EF4-FFF2-40B4-BE49-F238E27FC236}">
                    <a16:creationId xmlns:a16="http://schemas.microsoft.com/office/drawing/2014/main" id="{00000000-0008-0000-0200-00008A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19" name="Rectangle: Rounded Corners 1418">
                <a:extLst>
                  <a:ext uri="{FF2B5EF4-FFF2-40B4-BE49-F238E27FC236}">
                    <a16:creationId xmlns:a16="http://schemas.microsoft.com/office/drawing/2014/main" id="{00000000-0008-0000-0200-00008B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0" name="Rectangle: Rounded Corners 1419">
                <a:extLst>
                  <a:ext uri="{FF2B5EF4-FFF2-40B4-BE49-F238E27FC236}">
                    <a16:creationId xmlns:a16="http://schemas.microsoft.com/office/drawing/2014/main" id="{00000000-0008-0000-0200-00008C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1" name="Rectangle: Rounded Corners 1420">
                <a:extLst>
                  <a:ext uri="{FF2B5EF4-FFF2-40B4-BE49-F238E27FC236}">
                    <a16:creationId xmlns:a16="http://schemas.microsoft.com/office/drawing/2014/main" id="{00000000-0008-0000-0200-00008D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2" name="Rectangle: Rounded Corners 1421">
                <a:extLst>
                  <a:ext uri="{FF2B5EF4-FFF2-40B4-BE49-F238E27FC236}">
                    <a16:creationId xmlns:a16="http://schemas.microsoft.com/office/drawing/2014/main" id="{00000000-0008-0000-0200-00008E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3" name="Rectangle: Rounded Corners 1422">
                <a:extLst>
                  <a:ext uri="{FF2B5EF4-FFF2-40B4-BE49-F238E27FC236}">
                    <a16:creationId xmlns:a16="http://schemas.microsoft.com/office/drawing/2014/main" id="{00000000-0008-0000-0200-00008F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4" name="Rectangle: Rounded Corners 1423">
                <a:extLst>
                  <a:ext uri="{FF2B5EF4-FFF2-40B4-BE49-F238E27FC236}">
                    <a16:creationId xmlns:a16="http://schemas.microsoft.com/office/drawing/2014/main" id="{00000000-0008-0000-0200-000090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14" name="Group 1413">
              <a:extLst>
                <a:ext uri="{FF2B5EF4-FFF2-40B4-BE49-F238E27FC236}">
                  <a16:creationId xmlns:a16="http://schemas.microsoft.com/office/drawing/2014/main" id="{00000000-0008-0000-0200-000086050000}"/>
                </a:ext>
              </a:extLst>
            </xdr:cNvPr>
            <xdr:cNvGrpSpPr/>
          </xdr:nvGrpSpPr>
          <xdr:grpSpPr>
            <a:xfrm>
              <a:off x="15001875" y="106064797"/>
              <a:ext cx="953589" cy="1109382"/>
              <a:chOff x="-11112" y="0"/>
              <a:chExt cx="1112519" cy="1371600"/>
            </a:xfrm>
          </xdr:grpSpPr>
          <xdr:sp macro="" textlink="">
            <xdr:nvSpPr>
              <xdr:cNvPr id="1415" name="Rectangle 1414">
                <a:extLst>
                  <a:ext uri="{FF2B5EF4-FFF2-40B4-BE49-F238E27FC236}">
                    <a16:creationId xmlns:a16="http://schemas.microsoft.com/office/drawing/2014/main" id="{00000000-0008-0000-0200-000087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16" name="Rectangle 1415">
                <a:extLst>
                  <a:ext uri="{FF2B5EF4-FFF2-40B4-BE49-F238E27FC236}">
                    <a16:creationId xmlns:a16="http://schemas.microsoft.com/office/drawing/2014/main" id="{00000000-0008-0000-0200-000088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17" name="Straight Connector 1416">
                <a:extLst>
                  <a:ext uri="{FF2B5EF4-FFF2-40B4-BE49-F238E27FC236}">
                    <a16:creationId xmlns:a16="http://schemas.microsoft.com/office/drawing/2014/main" id="{00000000-0008-0000-0200-000089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12" name="Thought Bubble: Cloud 1411">
            <a:extLst>
              <a:ext uri="{FF2B5EF4-FFF2-40B4-BE49-F238E27FC236}">
                <a16:creationId xmlns:a16="http://schemas.microsoft.com/office/drawing/2014/main" id="{00000000-0008-0000-0200-000084050000}"/>
              </a:ext>
            </a:extLst>
          </xdr:cNvPr>
          <xdr:cNvSpPr/>
        </xdr:nvSpPr>
        <xdr:spPr>
          <a:xfrm flipH="1">
            <a:off x="14933087"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8</xdr:col>
      <xdr:colOff>138678</xdr:colOff>
      <xdr:row>559</xdr:row>
      <xdr:rowOff>164452</xdr:rowOff>
    </xdr:from>
    <xdr:to>
      <xdr:col>9</xdr:col>
      <xdr:colOff>371080</xdr:colOff>
      <xdr:row>571</xdr:row>
      <xdr:rowOff>63889</xdr:rowOff>
    </xdr:to>
    <xdr:grpSp>
      <xdr:nvGrpSpPr>
        <xdr:cNvPr id="1366" name="Group 1365">
          <a:extLst>
            <a:ext uri="{FF2B5EF4-FFF2-40B4-BE49-F238E27FC236}">
              <a16:creationId xmlns:a16="http://schemas.microsoft.com/office/drawing/2014/main" id="{00000000-0008-0000-0200-000056050000}"/>
            </a:ext>
          </a:extLst>
        </xdr:cNvPr>
        <xdr:cNvGrpSpPr>
          <a:grpSpLocks noChangeAspect="1"/>
        </xdr:cNvGrpSpPr>
      </xdr:nvGrpSpPr>
      <xdr:grpSpPr>
        <a:xfrm>
          <a:off x="3773418" y="111561232"/>
          <a:ext cx="735322" cy="2078757"/>
          <a:chOff x="14734647" y="104774975"/>
          <a:chExt cx="1263373" cy="3409972"/>
        </a:xfrm>
      </xdr:grpSpPr>
      <xdr:grpSp>
        <xdr:nvGrpSpPr>
          <xdr:cNvPr id="1523" name="Group 1522">
            <a:extLst>
              <a:ext uri="{FF2B5EF4-FFF2-40B4-BE49-F238E27FC236}">
                <a16:creationId xmlns:a16="http://schemas.microsoft.com/office/drawing/2014/main" id="{00000000-0008-0000-0200-0000F3050000}"/>
              </a:ext>
            </a:extLst>
          </xdr:cNvPr>
          <xdr:cNvGrpSpPr/>
        </xdr:nvGrpSpPr>
        <xdr:grpSpPr>
          <a:xfrm>
            <a:off x="14944724" y="105441747"/>
            <a:ext cx="1053296" cy="2743200"/>
            <a:chOff x="14944724" y="105441747"/>
            <a:chExt cx="1053296" cy="2743200"/>
          </a:xfrm>
        </xdr:grpSpPr>
        <xdr:grpSp>
          <xdr:nvGrpSpPr>
            <xdr:cNvPr id="1525" name="Group 1524">
              <a:extLst>
                <a:ext uri="{FF2B5EF4-FFF2-40B4-BE49-F238E27FC236}">
                  <a16:creationId xmlns:a16="http://schemas.microsoft.com/office/drawing/2014/main" id="{00000000-0008-0000-0200-0000F5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530" name="Rectangle: Rounded Corners 1529">
                <a:extLst>
                  <a:ext uri="{FF2B5EF4-FFF2-40B4-BE49-F238E27FC236}">
                    <a16:creationId xmlns:a16="http://schemas.microsoft.com/office/drawing/2014/main" id="{00000000-0008-0000-0200-0000FA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1" name="Rectangle: Rounded Corners 1530">
                <a:extLst>
                  <a:ext uri="{FF2B5EF4-FFF2-40B4-BE49-F238E27FC236}">
                    <a16:creationId xmlns:a16="http://schemas.microsoft.com/office/drawing/2014/main" id="{00000000-0008-0000-0200-0000FB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2" name="Rectangle: Rounded Corners 1531">
                <a:extLst>
                  <a:ext uri="{FF2B5EF4-FFF2-40B4-BE49-F238E27FC236}">
                    <a16:creationId xmlns:a16="http://schemas.microsoft.com/office/drawing/2014/main" id="{00000000-0008-0000-0200-0000FC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3" name="Rectangle: Rounded Corners 1532">
                <a:extLst>
                  <a:ext uri="{FF2B5EF4-FFF2-40B4-BE49-F238E27FC236}">
                    <a16:creationId xmlns:a16="http://schemas.microsoft.com/office/drawing/2014/main" id="{00000000-0008-0000-0200-0000FD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4" name="Rectangle: Rounded Corners 1533">
                <a:extLst>
                  <a:ext uri="{FF2B5EF4-FFF2-40B4-BE49-F238E27FC236}">
                    <a16:creationId xmlns:a16="http://schemas.microsoft.com/office/drawing/2014/main" id="{00000000-0008-0000-0200-0000FE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5" name="Rectangle: Rounded Corners 1534">
                <a:extLst>
                  <a:ext uri="{FF2B5EF4-FFF2-40B4-BE49-F238E27FC236}">
                    <a16:creationId xmlns:a16="http://schemas.microsoft.com/office/drawing/2014/main" id="{00000000-0008-0000-0200-0000FF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6" name="Rectangle: Rounded Corners 1535">
                <a:extLst>
                  <a:ext uri="{FF2B5EF4-FFF2-40B4-BE49-F238E27FC236}">
                    <a16:creationId xmlns:a16="http://schemas.microsoft.com/office/drawing/2014/main" id="{00000000-0008-0000-0200-000000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26" name="Group 1525">
              <a:extLst>
                <a:ext uri="{FF2B5EF4-FFF2-40B4-BE49-F238E27FC236}">
                  <a16:creationId xmlns:a16="http://schemas.microsoft.com/office/drawing/2014/main" id="{00000000-0008-0000-0200-0000F6050000}"/>
                </a:ext>
              </a:extLst>
            </xdr:cNvPr>
            <xdr:cNvGrpSpPr/>
          </xdr:nvGrpSpPr>
          <xdr:grpSpPr>
            <a:xfrm>
              <a:off x="15001875" y="106064797"/>
              <a:ext cx="953589" cy="1109382"/>
              <a:chOff x="-11112" y="0"/>
              <a:chExt cx="1112519" cy="1371600"/>
            </a:xfrm>
          </xdr:grpSpPr>
          <xdr:sp macro="" textlink="">
            <xdr:nvSpPr>
              <xdr:cNvPr id="1527" name="Rectangle 1526">
                <a:extLst>
                  <a:ext uri="{FF2B5EF4-FFF2-40B4-BE49-F238E27FC236}">
                    <a16:creationId xmlns:a16="http://schemas.microsoft.com/office/drawing/2014/main" id="{00000000-0008-0000-0200-0000F7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28" name="Rectangle 1527">
                <a:extLst>
                  <a:ext uri="{FF2B5EF4-FFF2-40B4-BE49-F238E27FC236}">
                    <a16:creationId xmlns:a16="http://schemas.microsoft.com/office/drawing/2014/main" id="{00000000-0008-0000-0200-0000F8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29" name="Straight Connector 1528">
                <a:extLst>
                  <a:ext uri="{FF2B5EF4-FFF2-40B4-BE49-F238E27FC236}">
                    <a16:creationId xmlns:a16="http://schemas.microsoft.com/office/drawing/2014/main" id="{00000000-0008-0000-0200-0000F9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24" name="Thought Bubble: Cloud 1523">
            <a:extLst>
              <a:ext uri="{FF2B5EF4-FFF2-40B4-BE49-F238E27FC236}">
                <a16:creationId xmlns:a16="http://schemas.microsoft.com/office/drawing/2014/main" id="{00000000-0008-0000-0200-0000F4050000}"/>
              </a:ext>
            </a:extLst>
          </xdr:cNvPr>
          <xdr:cNvSpPr/>
        </xdr:nvSpPr>
        <xdr:spPr>
          <a:xfrm flipH="1">
            <a:off x="14734647"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2</xdr:col>
      <xdr:colOff>304800</xdr:colOff>
      <xdr:row>560</xdr:row>
      <xdr:rowOff>972</xdr:rowOff>
    </xdr:from>
    <xdr:to>
      <xdr:col>4</xdr:col>
      <xdr:colOff>93269</xdr:colOff>
      <xdr:row>571</xdr:row>
      <xdr:rowOff>93074</xdr:rowOff>
    </xdr:to>
    <xdr:grpSp>
      <xdr:nvGrpSpPr>
        <xdr:cNvPr id="1367" name="Group 1366">
          <a:extLst>
            <a:ext uri="{FF2B5EF4-FFF2-40B4-BE49-F238E27FC236}">
              <a16:creationId xmlns:a16="http://schemas.microsoft.com/office/drawing/2014/main" id="{00000000-0008-0000-0200-000057050000}"/>
            </a:ext>
          </a:extLst>
        </xdr:cNvPr>
        <xdr:cNvGrpSpPr>
          <a:grpSpLocks noChangeAspect="1"/>
        </xdr:cNvGrpSpPr>
      </xdr:nvGrpSpPr>
      <xdr:grpSpPr>
        <a:xfrm>
          <a:off x="922020" y="111573012"/>
          <a:ext cx="794309" cy="2096162"/>
          <a:chOff x="13620749" y="104774999"/>
          <a:chExt cx="1352551" cy="3438523"/>
        </a:xfrm>
      </xdr:grpSpPr>
      <xdr:grpSp>
        <xdr:nvGrpSpPr>
          <xdr:cNvPr id="1509" name="Group 1508">
            <a:extLst>
              <a:ext uri="{FF2B5EF4-FFF2-40B4-BE49-F238E27FC236}">
                <a16:creationId xmlns:a16="http://schemas.microsoft.com/office/drawing/2014/main" id="{00000000-0008-0000-0200-0000E5050000}"/>
              </a:ext>
            </a:extLst>
          </xdr:cNvPr>
          <xdr:cNvGrpSpPr/>
        </xdr:nvGrpSpPr>
        <xdr:grpSpPr>
          <a:xfrm>
            <a:off x="13620749" y="105470322"/>
            <a:ext cx="1053296" cy="2743200"/>
            <a:chOff x="13620749" y="105470322"/>
            <a:chExt cx="1053296" cy="2743200"/>
          </a:xfrm>
        </xdr:grpSpPr>
        <xdr:grpSp>
          <xdr:nvGrpSpPr>
            <xdr:cNvPr id="1511" name="Group 1510">
              <a:extLst>
                <a:ext uri="{FF2B5EF4-FFF2-40B4-BE49-F238E27FC236}">
                  <a16:creationId xmlns:a16="http://schemas.microsoft.com/office/drawing/2014/main" id="{00000000-0008-0000-0200-0000E7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16" name="Rectangle: Rounded Corners 1515">
                <a:extLst>
                  <a:ext uri="{FF2B5EF4-FFF2-40B4-BE49-F238E27FC236}">
                    <a16:creationId xmlns:a16="http://schemas.microsoft.com/office/drawing/2014/main" id="{00000000-0008-0000-0200-0000EC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7" name="Rectangle: Rounded Corners 1516">
                <a:extLst>
                  <a:ext uri="{FF2B5EF4-FFF2-40B4-BE49-F238E27FC236}">
                    <a16:creationId xmlns:a16="http://schemas.microsoft.com/office/drawing/2014/main" id="{00000000-0008-0000-0200-0000ED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8" name="Rectangle: Rounded Corners 1517">
                <a:extLst>
                  <a:ext uri="{FF2B5EF4-FFF2-40B4-BE49-F238E27FC236}">
                    <a16:creationId xmlns:a16="http://schemas.microsoft.com/office/drawing/2014/main" id="{00000000-0008-0000-0200-0000EE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9" name="Rectangle: Rounded Corners 1518">
                <a:extLst>
                  <a:ext uri="{FF2B5EF4-FFF2-40B4-BE49-F238E27FC236}">
                    <a16:creationId xmlns:a16="http://schemas.microsoft.com/office/drawing/2014/main" id="{00000000-0008-0000-0200-0000EF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0" name="Rectangle: Rounded Corners 1519">
                <a:extLst>
                  <a:ext uri="{FF2B5EF4-FFF2-40B4-BE49-F238E27FC236}">
                    <a16:creationId xmlns:a16="http://schemas.microsoft.com/office/drawing/2014/main" id="{00000000-0008-0000-0200-0000F0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1" name="Rectangle: Rounded Corners 1520">
                <a:extLst>
                  <a:ext uri="{FF2B5EF4-FFF2-40B4-BE49-F238E27FC236}">
                    <a16:creationId xmlns:a16="http://schemas.microsoft.com/office/drawing/2014/main" id="{00000000-0008-0000-0200-0000F1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2" name="Rectangle: Rounded Corners 1521">
                <a:extLst>
                  <a:ext uri="{FF2B5EF4-FFF2-40B4-BE49-F238E27FC236}">
                    <a16:creationId xmlns:a16="http://schemas.microsoft.com/office/drawing/2014/main" id="{00000000-0008-0000-0200-0000F2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12" name="Group 1511">
              <a:extLst>
                <a:ext uri="{FF2B5EF4-FFF2-40B4-BE49-F238E27FC236}">
                  <a16:creationId xmlns:a16="http://schemas.microsoft.com/office/drawing/2014/main" id="{00000000-0008-0000-0200-0000E8050000}"/>
                </a:ext>
              </a:extLst>
            </xdr:cNvPr>
            <xdr:cNvGrpSpPr/>
          </xdr:nvGrpSpPr>
          <xdr:grpSpPr>
            <a:xfrm>
              <a:off x="13679805" y="106093372"/>
              <a:ext cx="953589" cy="1109382"/>
              <a:chOff x="0" y="0"/>
              <a:chExt cx="1112520" cy="1371600"/>
            </a:xfrm>
          </xdr:grpSpPr>
          <xdr:sp macro="" textlink="">
            <xdr:nvSpPr>
              <xdr:cNvPr id="1513" name="Rectangle 1512">
                <a:extLst>
                  <a:ext uri="{FF2B5EF4-FFF2-40B4-BE49-F238E27FC236}">
                    <a16:creationId xmlns:a16="http://schemas.microsoft.com/office/drawing/2014/main" id="{00000000-0008-0000-0200-0000E9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14" name="Rectangle 1513">
                <a:extLst>
                  <a:ext uri="{FF2B5EF4-FFF2-40B4-BE49-F238E27FC236}">
                    <a16:creationId xmlns:a16="http://schemas.microsoft.com/office/drawing/2014/main" id="{00000000-0008-0000-0200-0000EA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15" name="Straight Connector 1514">
                <a:extLst>
                  <a:ext uri="{FF2B5EF4-FFF2-40B4-BE49-F238E27FC236}">
                    <a16:creationId xmlns:a16="http://schemas.microsoft.com/office/drawing/2014/main" id="{00000000-0008-0000-0200-0000EB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10" name="Thought Bubble: Cloud 1509">
            <a:extLst>
              <a:ext uri="{FF2B5EF4-FFF2-40B4-BE49-F238E27FC236}">
                <a16:creationId xmlns:a16="http://schemas.microsoft.com/office/drawing/2014/main" id="{00000000-0008-0000-0200-0000E6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4</xdr:col>
      <xdr:colOff>167640</xdr:colOff>
      <xdr:row>559</xdr:row>
      <xdr:rowOff>136395</xdr:rowOff>
    </xdr:from>
    <xdr:to>
      <xdr:col>5</xdr:col>
      <xdr:colOff>451409</xdr:colOff>
      <xdr:row>571</xdr:row>
      <xdr:rowOff>53237</xdr:rowOff>
    </xdr:to>
    <xdr:grpSp>
      <xdr:nvGrpSpPr>
        <xdr:cNvPr id="1368" name="Group 1367">
          <a:extLst>
            <a:ext uri="{FF2B5EF4-FFF2-40B4-BE49-F238E27FC236}">
              <a16:creationId xmlns:a16="http://schemas.microsoft.com/office/drawing/2014/main" id="{00000000-0008-0000-0200-000058050000}"/>
            </a:ext>
          </a:extLst>
        </xdr:cNvPr>
        <xdr:cNvGrpSpPr>
          <a:grpSpLocks noChangeAspect="1"/>
        </xdr:cNvGrpSpPr>
      </xdr:nvGrpSpPr>
      <xdr:grpSpPr>
        <a:xfrm>
          <a:off x="1790700" y="111533175"/>
          <a:ext cx="786689" cy="2096162"/>
          <a:chOff x="13620749" y="104774999"/>
          <a:chExt cx="1352551" cy="3438523"/>
        </a:xfrm>
      </xdr:grpSpPr>
      <xdr:grpSp>
        <xdr:nvGrpSpPr>
          <xdr:cNvPr id="1495" name="Group 1494">
            <a:extLst>
              <a:ext uri="{FF2B5EF4-FFF2-40B4-BE49-F238E27FC236}">
                <a16:creationId xmlns:a16="http://schemas.microsoft.com/office/drawing/2014/main" id="{00000000-0008-0000-0200-0000D7050000}"/>
              </a:ext>
            </a:extLst>
          </xdr:cNvPr>
          <xdr:cNvGrpSpPr/>
        </xdr:nvGrpSpPr>
        <xdr:grpSpPr>
          <a:xfrm>
            <a:off x="13620749" y="105470322"/>
            <a:ext cx="1053296" cy="2743200"/>
            <a:chOff x="13620749" y="105470322"/>
            <a:chExt cx="1053296" cy="2743200"/>
          </a:xfrm>
        </xdr:grpSpPr>
        <xdr:grpSp>
          <xdr:nvGrpSpPr>
            <xdr:cNvPr id="1497" name="Group 1496">
              <a:extLst>
                <a:ext uri="{FF2B5EF4-FFF2-40B4-BE49-F238E27FC236}">
                  <a16:creationId xmlns:a16="http://schemas.microsoft.com/office/drawing/2014/main" id="{00000000-0008-0000-0200-0000D9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02" name="Rectangle: Rounded Corners 1501">
                <a:extLst>
                  <a:ext uri="{FF2B5EF4-FFF2-40B4-BE49-F238E27FC236}">
                    <a16:creationId xmlns:a16="http://schemas.microsoft.com/office/drawing/2014/main" id="{00000000-0008-0000-0200-0000D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3" name="Rectangle: Rounded Corners 1502">
                <a:extLst>
                  <a:ext uri="{FF2B5EF4-FFF2-40B4-BE49-F238E27FC236}">
                    <a16:creationId xmlns:a16="http://schemas.microsoft.com/office/drawing/2014/main" id="{00000000-0008-0000-0200-0000D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4" name="Rectangle: Rounded Corners 1503">
                <a:extLst>
                  <a:ext uri="{FF2B5EF4-FFF2-40B4-BE49-F238E27FC236}">
                    <a16:creationId xmlns:a16="http://schemas.microsoft.com/office/drawing/2014/main" id="{00000000-0008-0000-0200-0000E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5" name="Rectangle: Rounded Corners 1504">
                <a:extLst>
                  <a:ext uri="{FF2B5EF4-FFF2-40B4-BE49-F238E27FC236}">
                    <a16:creationId xmlns:a16="http://schemas.microsoft.com/office/drawing/2014/main" id="{00000000-0008-0000-0200-0000E1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6" name="Rectangle: Rounded Corners 1505">
                <a:extLst>
                  <a:ext uri="{FF2B5EF4-FFF2-40B4-BE49-F238E27FC236}">
                    <a16:creationId xmlns:a16="http://schemas.microsoft.com/office/drawing/2014/main" id="{00000000-0008-0000-0200-0000E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7" name="Rectangle: Rounded Corners 1506">
                <a:extLst>
                  <a:ext uri="{FF2B5EF4-FFF2-40B4-BE49-F238E27FC236}">
                    <a16:creationId xmlns:a16="http://schemas.microsoft.com/office/drawing/2014/main" id="{00000000-0008-0000-0200-0000E3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8" name="Rectangle: Rounded Corners 1507">
                <a:extLst>
                  <a:ext uri="{FF2B5EF4-FFF2-40B4-BE49-F238E27FC236}">
                    <a16:creationId xmlns:a16="http://schemas.microsoft.com/office/drawing/2014/main" id="{00000000-0008-0000-0200-0000E4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98" name="Group 1497">
              <a:extLst>
                <a:ext uri="{FF2B5EF4-FFF2-40B4-BE49-F238E27FC236}">
                  <a16:creationId xmlns:a16="http://schemas.microsoft.com/office/drawing/2014/main" id="{00000000-0008-0000-0200-0000DA050000}"/>
                </a:ext>
              </a:extLst>
            </xdr:cNvPr>
            <xdr:cNvGrpSpPr/>
          </xdr:nvGrpSpPr>
          <xdr:grpSpPr>
            <a:xfrm>
              <a:off x="13679805" y="106093372"/>
              <a:ext cx="953589" cy="1109382"/>
              <a:chOff x="0" y="0"/>
              <a:chExt cx="1112520" cy="1371600"/>
            </a:xfrm>
          </xdr:grpSpPr>
          <xdr:sp macro="" textlink="">
            <xdr:nvSpPr>
              <xdr:cNvPr id="1499" name="Rectangle 1498">
                <a:extLst>
                  <a:ext uri="{FF2B5EF4-FFF2-40B4-BE49-F238E27FC236}">
                    <a16:creationId xmlns:a16="http://schemas.microsoft.com/office/drawing/2014/main" id="{00000000-0008-0000-0200-0000DB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00" name="Rectangle 1499">
                <a:extLst>
                  <a:ext uri="{FF2B5EF4-FFF2-40B4-BE49-F238E27FC236}">
                    <a16:creationId xmlns:a16="http://schemas.microsoft.com/office/drawing/2014/main" id="{00000000-0008-0000-0200-0000DC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01" name="Straight Connector 1500">
                <a:extLst>
                  <a:ext uri="{FF2B5EF4-FFF2-40B4-BE49-F238E27FC236}">
                    <a16:creationId xmlns:a16="http://schemas.microsoft.com/office/drawing/2014/main" id="{00000000-0008-0000-0200-0000DD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96" name="Thought Bubble: Cloud 1495">
            <a:extLst>
              <a:ext uri="{FF2B5EF4-FFF2-40B4-BE49-F238E27FC236}">
                <a16:creationId xmlns:a16="http://schemas.microsoft.com/office/drawing/2014/main" id="{00000000-0008-0000-0200-0000D8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xdr:col>
      <xdr:colOff>403860</xdr:colOff>
      <xdr:row>559</xdr:row>
      <xdr:rowOff>72655</xdr:rowOff>
    </xdr:from>
    <xdr:to>
      <xdr:col>3</xdr:col>
      <xdr:colOff>192329</xdr:colOff>
      <xdr:row>570</xdr:row>
      <xdr:rowOff>164757</xdr:rowOff>
    </xdr:to>
    <xdr:grpSp>
      <xdr:nvGrpSpPr>
        <xdr:cNvPr id="1369" name="Group 1368">
          <a:extLst>
            <a:ext uri="{FF2B5EF4-FFF2-40B4-BE49-F238E27FC236}">
              <a16:creationId xmlns:a16="http://schemas.microsoft.com/office/drawing/2014/main" id="{00000000-0008-0000-0200-000059050000}"/>
            </a:ext>
          </a:extLst>
        </xdr:cNvPr>
        <xdr:cNvGrpSpPr>
          <a:grpSpLocks noChangeAspect="1"/>
        </xdr:cNvGrpSpPr>
      </xdr:nvGrpSpPr>
      <xdr:grpSpPr>
        <a:xfrm>
          <a:off x="518160" y="111469435"/>
          <a:ext cx="794309" cy="2096162"/>
          <a:chOff x="13620749" y="104774999"/>
          <a:chExt cx="1352551" cy="3438523"/>
        </a:xfrm>
      </xdr:grpSpPr>
      <xdr:grpSp>
        <xdr:nvGrpSpPr>
          <xdr:cNvPr id="1481" name="Group 1480">
            <a:extLst>
              <a:ext uri="{FF2B5EF4-FFF2-40B4-BE49-F238E27FC236}">
                <a16:creationId xmlns:a16="http://schemas.microsoft.com/office/drawing/2014/main" id="{00000000-0008-0000-0200-0000C9050000}"/>
              </a:ext>
            </a:extLst>
          </xdr:cNvPr>
          <xdr:cNvGrpSpPr/>
        </xdr:nvGrpSpPr>
        <xdr:grpSpPr>
          <a:xfrm>
            <a:off x="13620749" y="105470322"/>
            <a:ext cx="1053296" cy="2743200"/>
            <a:chOff x="13620749" y="105470322"/>
            <a:chExt cx="1053296" cy="2743200"/>
          </a:xfrm>
        </xdr:grpSpPr>
        <xdr:grpSp>
          <xdr:nvGrpSpPr>
            <xdr:cNvPr id="1483" name="Group 1482">
              <a:extLst>
                <a:ext uri="{FF2B5EF4-FFF2-40B4-BE49-F238E27FC236}">
                  <a16:creationId xmlns:a16="http://schemas.microsoft.com/office/drawing/2014/main" id="{00000000-0008-0000-0200-0000CB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488" name="Rectangle: Rounded Corners 1487">
                <a:extLst>
                  <a:ext uri="{FF2B5EF4-FFF2-40B4-BE49-F238E27FC236}">
                    <a16:creationId xmlns:a16="http://schemas.microsoft.com/office/drawing/2014/main" id="{00000000-0008-0000-0200-0000D0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89" name="Rectangle: Rounded Corners 1488">
                <a:extLst>
                  <a:ext uri="{FF2B5EF4-FFF2-40B4-BE49-F238E27FC236}">
                    <a16:creationId xmlns:a16="http://schemas.microsoft.com/office/drawing/2014/main" id="{00000000-0008-0000-0200-0000D1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0" name="Rectangle: Rounded Corners 1489">
                <a:extLst>
                  <a:ext uri="{FF2B5EF4-FFF2-40B4-BE49-F238E27FC236}">
                    <a16:creationId xmlns:a16="http://schemas.microsoft.com/office/drawing/2014/main" id="{00000000-0008-0000-0200-0000D2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1" name="Rectangle: Rounded Corners 1490">
                <a:extLst>
                  <a:ext uri="{FF2B5EF4-FFF2-40B4-BE49-F238E27FC236}">
                    <a16:creationId xmlns:a16="http://schemas.microsoft.com/office/drawing/2014/main" id="{00000000-0008-0000-0200-0000D3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2" name="Rectangle: Rounded Corners 1491">
                <a:extLst>
                  <a:ext uri="{FF2B5EF4-FFF2-40B4-BE49-F238E27FC236}">
                    <a16:creationId xmlns:a16="http://schemas.microsoft.com/office/drawing/2014/main" id="{00000000-0008-0000-0200-0000D4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3" name="Rectangle: Rounded Corners 1492">
                <a:extLst>
                  <a:ext uri="{FF2B5EF4-FFF2-40B4-BE49-F238E27FC236}">
                    <a16:creationId xmlns:a16="http://schemas.microsoft.com/office/drawing/2014/main" id="{00000000-0008-0000-0200-0000D5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4" name="Rectangle: Rounded Corners 1493">
                <a:extLst>
                  <a:ext uri="{FF2B5EF4-FFF2-40B4-BE49-F238E27FC236}">
                    <a16:creationId xmlns:a16="http://schemas.microsoft.com/office/drawing/2014/main" id="{00000000-0008-0000-0200-0000D6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84" name="Group 1483">
              <a:extLst>
                <a:ext uri="{FF2B5EF4-FFF2-40B4-BE49-F238E27FC236}">
                  <a16:creationId xmlns:a16="http://schemas.microsoft.com/office/drawing/2014/main" id="{00000000-0008-0000-0200-0000CC050000}"/>
                </a:ext>
              </a:extLst>
            </xdr:cNvPr>
            <xdr:cNvGrpSpPr/>
          </xdr:nvGrpSpPr>
          <xdr:grpSpPr>
            <a:xfrm>
              <a:off x="13679805" y="106093372"/>
              <a:ext cx="953589" cy="1109382"/>
              <a:chOff x="0" y="0"/>
              <a:chExt cx="1112520" cy="1371600"/>
            </a:xfrm>
          </xdr:grpSpPr>
          <xdr:sp macro="" textlink="">
            <xdr:nvSpPr>
              <xdr:cNvPr id="1485" name="Rectangle 1484">
                <a:extLst>
                  <a:ext uri="{FF2B5EF4-FFF2-40B4-BE49-F238E27FC236}">
                    <a16:creationId xmlns:a16="http://schemas.microsoft.com/office/drawing/2014/main" id="{00000000-0008-0000-0200-0000CD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86" name="Rectangle 1485">
                <a:extLst>
                  <a:ext uri="{FF2B5EF4-FFF2-40B4-BE49-F238E27FC236}">
                    <a16:creationId xmlns:a16="http://schemas.microsoft.com/office/drawing/2014/main" id="{00000000-0008-0000-0200-0000CE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87" name="Straight Connector 1486">
                <a:extLst>
                  <a:ext uri="{FF2B5EF4-FFF2-40B4-BE49-F238E27FC236}">
                    <a16:creationId xmlns:a16="http://schemas.microsoft.com/office/drawing/2014/main" id="{00000000-0008-0000-0200-0000CF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82" name="Thought Bubble: Cloud 1481">
            <a:extLst>
              <a:ext uri="{FF2B5EF4-FFF2-40B4-BE49-F238E27FC236}">
                <a16:creationId xmlns:a16="http://schemas.microsoft.com/office/drawing/2014/main" id="{00000000-0008-0000-0200-0000CA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3</xdr:col>
      <xdr:colOff>220980</xdr:colOff>
      <xdr:row>559</xdr:row>
      <xdr:rowOff>40785</xdr:rowOff>
    </xdr:from>
    <xdr:to>
      <xdr:col>5</xdr:col>
      <xdr:colOff>9449</xdr:colOff>
      <xdr:row>570</xdr:row>
      <xdr:rowOff>132887</xdr:rowOff>
    </xdr:to>
    <xdr:grpSp>
      <xdr:nvGrpSpPr>
        <xdr:cNvPr id="1370" name="Group 1369">
          <a:extLst>
            <a:ext uri="{FF2B5EF4-FFF2-40B4-BE49-F238E27FC236}">
              <a16:creationId xmlns:a16="http://schemas.microsoft.com/office/drawing/2014/main" id="{00000000-0008-0000-0200-00005A050000}"/>
            </a:ext>
          </a:extLst>
        </xdr:cNvPr>
        <xdr:cNvGrpSpPr>
          <a:grpSpLocks noChangeAspect="1"/>
        </xdr:cNvGrpSpPr>
      </xdr:nvGrpSpPr>
      <xdr:grpSpPr>
        <a:xfrm>
          <a:off x="1341120" y="111437565"/>
          <a:ext cx="794309" cy="2096162"/>
          <a:chOff x="13620749" y="104774999"/>
          <a:chExt cx="1352551" cy="3438523"/>
        </a:xfrm>
      </xdr:grpSpPr>
      <xdr:grpSp>
        <xdr:nvGrpSpPr>
          <xdr:cNvPr id="1467" name="Group 1466">
            <a:extLst>
              <a:ext uri="{FF2B5EF4-FFF2-40B4-BE49-F238E27FC236}">
                <a16:creationId xmlns:a16="http://schemas.microsoft.com/office/drawing/2014/main" id="{00000000-0008-0000-0200-0000BB050000}"/>
              </a:ext>
            </a:extLst>
          </xdr:cNvPr>
          <xdr:cNvGrpSpPr/>
        </xdr:nvGrpSpPr>
        <xdr:grpSpPr>
          <a:xfrm>
            <a:off x="13620749" y="105470322"/>
            <a:ext cx="1053296" cy="2743200"/>
            <a:chOff x="13620749" y="105470322"/>
            <a:chExt cx="1053296" cy="2743200"/>
          </a:xfrm>
        </xdr:grpSpPr>
        <xdr:grpSp>
          <xdr:nvGrpSpPr>
            <xdr:cNvPr id="1469" name="Group 1468">
              <a:extLst>
                <a:ext uri="{FF2B5EF4-FFF2-40B4-BE49-F238E27FC236}">
                  <a16:creationId xmlns:a16="http://schemas.microsoft.com/office/drawing/2014/main" id="{00000000-0008-0000-0200-0000BD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474" name="Rectangle: Rounded Corners 1473">
                <a:extLst>
                  <a:ext uri="{FF2B5EF4-FFF2-40B4-BE49-F238E27FC236}">
                    <a16:creationId xmlns:a16="http://schemas.microsoft.com/office/drawing/2014/main" id="{00000000-0008-0000-0200-0000C2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5" name="Rectangle: Rounded Corners 1474">
                <a:extLst>
                  <a:ext uri="{FF2B5EF4-FFF2-40B4-BE49-F238E27FC236}">
                    <a16:creationId xmlns:a16="http://schemas.microsoft.com/office/drawing/2014/main" id="{00000000-0008-0000-0200-0000C3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6" name="Rectangle: Rounded Corners 1475">
                <a:extLst>
                  <a:ext uri="{FF2B5EF4-FFF2-40B4-BE49-F238E27FC236}">
                    <a16:creationId xmlns:a16="http://schemas.microsoft.com/office/drawing/2014/main" id="{00000000-0008-0000-0200-0000C4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7" name="Rectangle: Rounded Corners 1476">
                <a:extLst>
                  <a:ext uri="{FF2B5EF4-FFF2-40B4-BE49-F238E27FC236}">
                    <a16:creationId xmlns:a16="http://schemas.microsoft.com/office/drawing/2014/main" id="{00000000-0008-0000-0200-0000C5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8" name="Rectangle: Rounded Corners 1477">
                <a:extLst>
                  <a:ext uri="{FF2B5EF4-FFF2-40B4-BE49-F238E27FC236}">
                    <a16:creationId xmlns:a16="http://schemas.microsoft.com/office/drawing/2014/main" id="{00000000-0008-0000-0200-0000C6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9" name="Rectangle: Rounded Corners 1478">
                <a:extLst>
                  <a:ext uri="{FF2B5EF4-FFF2-40B4-BE49-F238E27FC236}">
                    <a16:creationId xmlns:a16="http://schemas.microsoft.com/office/drawing/2014/main" id="{00000000-0008-0000-0200-0000C7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80" name="Rectangle: Rounded Corners 1479">
                <a:extLst>
                  <a:ext uri="{FF2B5EF4-FFF2-40B4-BE49-F238E27FC236}">
                    <a16:creationId xmlns:a16="http://schemas.microsoft.com/office/drawing/2014/main" id="{00000000-0008-0000-0200-0000C8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70" name="Group 1469">
              <a:extLst>
                <a:ext uri="{FF2B5EF4-FFF2-40B4-BE49-F238E27FC236}">
                  <a16:creationId xmlns:a16="http://schemas.microsoft.com/office/drawing/2014/main" id="{00000000-0008-0000-0200-0000BE050000}"/>
                </a:ext>
              </a:extLst>
            </xdr:cNvPr>
            <xdr:cNvGrpSpPr/>
          </xdr:nvGrpSpPr>
          <xdr:grpSpPr>
            <a:xfrm>
              <a:off x="13679805" y="106093372"/>
              <a:ext cx="953589" cy="1109382"/>
              <a:chOff x="0" y="0"/>
              <a:chExt cx="1112520" cy="1371600"/>
            </a:xfrm>
          </xdr:grpSpPr>
          <xdr:sp macro="" textlink="">
            <xdr:nvSpPr>
              <xdr:cNvPr id="1471" name="Rectangle 1470">
                <a:extLst>
                  <a:ext uri="{FF2B5EF4-FFF2-40B4-BE49-F238E27FC236}">
                    <a16:creationId xmlns:a16="http://schemas.microsoft.com/office/drawing/2014/main" id="{00000000-0008-0000-0200-0000BF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72" name="Rectangle 1471">
                <a:extLst>
                  <a:ext uri="{FF2B5EF4-FFF2-40B4-BE49-F238E27FC236}">
                    <a16:creationId xmlns:a16="http://schemas.microsoft.com/office/drawing/2014/main" id="{00000000-0008-0000-0200-0000C0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73" name="Straight Connector 1472">
                <a:extLst>
                  <a:ext uri="{FF2B5EF4-FFF2-40B4-BE49-F238E27FC236}">
                    <a16:creationId xmlns:a16="http://schemas.microsoft.com/office/drawing/2014/main" id="{00000000-0008-0000-0200-0000C1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68" name="Thought Bubble: Cloud 1467">
            <a:extLst>
              <a:ext uri="{FF2B5EF4-FFF2-40B4-BE49-F238E27FC236}">
                <a16:creationId xmlns:a16="http://schemas.microsoft.com/office/drawing/2014/main" id="{00000000-0008-0000-0200-0000BC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10</xdr:col>
      <xdr:colOff>420616</xdr:colOff>
      <xdr:row>559</xdr:row>
      <xdr:rowOff>84802</xdr:rowOff>
    </xdr:from>
    <xdr:to>
      <xdr:col>12</xdr:col>
      <xdr:colOff>119616</xdr:colOff>
      <xdr:row>570</xdr:row>
      <xdr:rowOff>159499</xdr:rowOff>
    </xdr:to>
    <xdr:grpSp>
      <xdr:nvGrpSpPr>
        <xdr:cNvPr id="1375" name="Group 1374">
          <a:extLst>
            <a:ext uri="{FF2B5EF4-FFF2-40B4-BE49-F238E27FC236}">
              <a16:creationId xmlns:a16="http://schemas.microsoft.com/office/drawing/2014/main" id="{00000000-0008-0000-0200-00005F050000}"/>
            </a:ext>
          </a:extLst>
        </xdr:cNvPr>
        <xdr:cNvGrpSpPr>
          <a:grpSpLocks noChangeAspect="1"/>
        </xdr:cNvGrpSpPr>
      </xdr:nvGrpSpPr>
      <xdr:grpSpPr>
        <a:xfrm>
          <a:off x="5061196" y="111481582"/>
          <a:ext cx="704840" cy="2078757"/>
          <a:chOff x="14800796" y="104774975"/>
          <a:chExt cx="1197224" cy="3409972"/>
        </a:xfrm>
      </xdr:grpSpPr>
      <xdr:grpSp>
        <xdr:nvGrpSpPr>
          <xdr:cNvPr id="1397" name="Group 1396">
            <a:extLst>
              <a:ext uri="{FF2B5EF4-FFF2-40B4-BE49-F238E27FC236}">
                <a16:creationId xmlns:a16="http://schemas.microsoft.com/office/drawing/2014/main" id="{00000000-0008-0000-0200-000075050000}"/>
              </a:ext>
            </a:extLst>
          </xdr:cNvPr>
          <xdr:cNvGrpSpPr/>
        </xdr:nvGrpSpPr>
        <xdr:grpSpPr>
          <a:xfrm>
            <a:off x="14944724" y="105441747"/>
            <a:ext cx="1053296" cy="2743200"/>
            <a:chOff x="14944724" y="105441747"/>
            <a:chExt cx="1053296" cy="2743200"/>
          </a:xfrm>
        </xdr:grpSpPr>
        <xdr:grpSp>
          <xdr:nvGrpSpPr>
            <xdr:cNvPr id="1399" name="Group 1398">
              <a:extLst>
                <a:ext uri="{FF2B5EF4-FFF2-40B4-BE49-F238E27FC236}">
                  <a16:creationId xmlns:a16="http://schemas.microsoft.com/office/drawing/2014/main" id="{00000000-0008-0000-0200-000077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04" name="Rectangle: Rounded Corners 1403">
                <a:extLst>
                  <a:ext uri="{FF2B5EF4-FFF2-40B4-BE49-F238E27FC236}">
                    <a16:creationId xmlns:a16="http://schemas.microsoft.com/office/drawing/2014/main" id="{00000000-0008-0000-0200-00007C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5" name="Rectangle: Rounded Corners 1404">
                <a:extLst>
                  <a:ext uri="{FF2B5EF4-FFF2-40B4-BE49-F238E27FC236}">
                    <a16:creationId xmlns:a16="http://schemas.microsoft.com/office/drawing/2014/main" id="{00000000-0008-0000-0200-00007D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6" name="Rectangle: Rounded Corners 1405">
                <a:extLst>
                  <a:ext uri="{FF2B5EF4-FFF2-40B4-BE49-F238E27FC236}">
                    <a16:creationId xmlns:a16="http://schemas.microsoft.com/office/drawing/2014/main" id="{00000000-0008-0000-0200-00007E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7" name="Rectangle: Rounded Corners 1406">
                <a:extLst>
                  <a:ext uri="{FF2B5EF4-FFF2-40B4-BE49-F238E27FC236}">
                    <a16:creationId xmlns:a16="http://schemas.microsoft.com/office/drawing/2014/main" id="{00000000-0008-0000-0200-00007F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8" name="Rectangle: Rounded Corners 1407">
                <a:extLst>
                  <a:ext uri="{FF2B5EF4-FFF2-40B4-BE49-F238E27FC236}">
                    <a16:creationId xmlns:a16="http://schemas.microsoft.com/office/drawing/2014/main" id="{00000000-0008-0000-0200-000080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9" name="Rectangle: Rounded Corners 1408">
                <a:extLst>
                  <a:ext uri="{FF2B5EF4-FFF2-40B4-BE49-F238E27FC236}">
                    <a16:creationId xmlns:a16="http://schemas.microsoft.com/office/drawing/2014/main" id="{00000000-0008-0000-0200-000081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10" name="Rectangle: Rounded Corners 1409">
                <a:extLst>
                  <a:ext uri="{FF2B5EF4-FFF2-40B4-BE49-F238E27FC236}">
                    <a16:creationId xmlns:a16="http://schemas.microsoft.com/office/drawing/2014/main" id="{00000000-0008-0000-0200-000082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00" name="Group 1399">
              <a:extLst>
                <a:ext uri="{FF2B5EF4-FFF2-40B4-BE49-F238E27FC236}">
                  <a16:creationId xmlns:a16="http://schemas.microsoft.com/office/drawing/2014/main" id="{00000000-0008-0000-0200-000078050000}"/>
                </a:ext>
              </a:extLst>
            </xdr:cNvPr>
            <xdr:cNvGrpSpPr/>
          </xdr:nvGrpSpPr>
          <xdr:grpSpPr>
            <a:xfrm>
              <a:off x="15001875" y="106064797"/>
              <a:ext cx="953589" cy="1109382"/>
              <a:chOff x="-11112" y="0"/>
              <a:chExt cx="1112519" cy="1371600"/>
            </a:xfrm>
          </xdr:grpSpPr>
          <xdr:sp macro="" textlink="">
            <xdr:nvSpPr>
              <xdr:cNvPr id="1401" name="Rectangle 1400">
                <a:extLst>
                  <a:ext uri="{FF2B5EF4-FFF2-40B4-BE49-F238E27FC236}">
                    <a16:creationId xmlns:a16="http://schemas.microsoft.com/office/drawing/2014/main" id="{00000000-0008-0000-0200-000079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02" name="Rectangle 1401">
                <a:extLst>
                  <a:ext uri="{FF2B5EF4-FFF2-40B4-BE49-F238E27FC236}">
                    <a16:creationId xmlns:a16="http://schemas.microsoft.com/office/drawing/2014/main" id="{00000000-0008-0000-0200-00007A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03" name="Straight Connector 1402">
                <a:extLst>
                  <a:ext uri="{FF2B5EF4-FFF2-40B4-BE49-F238E27FC236}">
                    <a16:creationId xmlns:a16="http://schemas.microsoft.com/office/drawing/2014/main" id="{00000000-0008-0000-0200-00007B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98" name="Thought Bubble: Cloud 1397">
            <a:extLst>
              <a:ext uri="{FF2B5EF4-FFF2-40B4-BE49-F238E27FC236}">
                <a16:creationId xmlns:a16="http://schemas.microsoft.com/office/drawing/2014/main" id="{00000000-0008-0000-0200-000076050000}"/>
              </a:ext>
            </a:extLst>
          </xdr:cNvPr>
          <xdr:cNvSpPr/>
        </xdr:nvSpPr>
        <xdr:spPr>
          <a:xfrm flipH="1">
            <a:off x="14800796" y="104774975"/>
            <a:ext cx="1171577"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2</xdr:col>
      <xdr:colOff>180685</xdr:colOff>
      <xdr:row>563</xdr:row>
      <xdr:rowOff>162842</xdr:rowOff>
    </xdr:from>
    <xdr:to>
      <xdr:col>6</xdr:col>
      <xdr:colOff>353203</xdr:colOff>
      <xdr:row>574</xdr:row>
      <xdr:rowOff>89301</xdr:rowOff>
    </xdr:to>
    <xdr:grpSp>
      <xdr:nvGrpSpPr>
        <xdr:cNvPr id="1371" name="Group 1370">
          <a:extLst>
            <a:ext uri="{FF2B5EF4-FFF2-40B4-BE49-F238E27FC236}">
              <a16:creationId xmlns:a16="http://schemas.microsoft.com/office/drawing/2014/main" id="{00000000-0008-0000-0200-00005B050000}"/>
            </a:ext>
          </a:extLst>
        </xdr:cNvPr>
        <xdr:cNvGrpSpPr>
          <a:grpSpLocks noChangeAspect="1"/>
        </xdr:cNvGrpSpPr>
      </xdr:nvGrpSpPr>
      <xdr:grpSpPr>
        <a:xfrm>
          <a:off x="797905" y="112260662"/>
          <a:ext cx="2184198" cy="1945759"/>
          <a:chOff x="16602074" y="105297915"/>
          <a:chExt cx="3415676" cy="2925132"/>
        </a:xfrm>
      </xdr:grpSpPr>
      <xdr:grpSp>
        <xdr:nvGrpSpPr>
          <xdr:cNvPr id="1453" name="Group 1452">
            <a:extLst>
              <a:ext uri="{FF2B5EF4-FFF2-40B4-BE49-F238E27FC236}">
                <a16:creationId xmlns:a16="http://schemas.microsoft.com/office/drawing/2014/main" id="{00000000-0008-0000-0200-0000AD050000}"/>
              </a:ext>
            </a:extLst>
          </xdr:cNvPr>
          <xdr:cNvGrpSpPr/>
        </xdr:nvGrpSpPr>
        <xdr:grpSpPr>
          <a:xfrm>
            <a:off x="16602074" y="105479847"/>
            <a:ext cx="1053296" cy="2743200"/>
            <a:chOff x="16602074" y="105479847"/>
            <a:chExt cx="1053296" cy="2743200"/>
          </a:xfrm>
        </xdr:grpSpPr>
        <xdr:grpSp>
          <xdr:nvGrpSpPr>
            <xdr:cNvPr id="1455" name="Group 1454">
              <a:extLst>
                <a:ext uri="{FF2B5EF4-FFF2-40B4-BE49-F238E27FC236}">
                  <a16:creationId xmlns:a16="http://schemas.microsoft.com/office/drawing/2014/main" id="{00000000-0008-0000-0200-0000AF050000}"/>
                </a:ext>
              </a:extLst>
            </xdr:cNvPr>
            <xdr:cNvGrpSpPr>
              <a:grpSpLocks noChangeAspect="1"/>
            </xdr:cNvGrpSpPr>
          </xdr:nvGrpSpPr>
          <xdr:grpSpPr>
            <a:xfrm>
              <a:off x="16602074" y="105479847"/>
              <a:ext cx="1053296" cy="2743200"/>
              <a:chOff x="4819649" y="104755947"/>
              <a:chExt cx="2600325" cy="6772277"/>
            </a:xfrm>
            <a:solidFill>
              <a:srgbClr val="00B0F0"/>
            </a:solidFill>
          </xdr:grpSpPr>
          <xdr:sp macro="" textlink="">
            <xdr:nvSpPr>
              <xdr:cNvPr id="1460" name="Rectangle: Rounded Corners 1459">
                <a:extLst>
                  <a:ext uri="{FF2B5EF4-FFF2-40B4-BE49-F238E27FC236}">
                    <a16:creationId xmlns:a16="http://schemas.microsoft.com/office/drawing/2014/main" id="{00000000-0008-0000-0200-0000B4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1" name="Rectangle: Rounded Corners 1460">
                <a:extLst>
                  <a:ext uri="{FF2B5EF4-FFF2-40B4-BE49-F238E27FC236}">
                    <a16:creationId xmlns:a16="http://schemas.microsoft.com/office/drawing/2014/main" id="{00000000-0008-0000-0200-0000B5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2" name="Rectangle: Rounded Corners 1461">
                <a:extLst>
                  <a:ext uri="{FF2B5EF4-FFF2-40B4-BE49-F238E27FC236}">
                    <a16:creationId xmlns:a16="http://schemas.microsoft.com/office/drawing/2014/main" id="{00000000-0008-0000-0200-0000B6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3" name="Rectangle: Rounded Corners 1462">
                <a:extLst>
                  <a:ext uri="{FF2B5EF4-FFF2-40B4-BE49-F238E27FC236}">
                    <a16:creationId xmlns:a16="http://schemas.microsoft.com/office/drawing/2014/main" id="{00000000-0008-0000-0200-0000B7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4" name="Rectangle: Rounded Corners 1463">
                <a:extLst>
                  <a:ext uri="{FF2B5EF4-FFF2-40B4-BE49-F238E27FC236}">
                    <a16:creationId xmlns:a16="http://schemas.microsoft.com/office/drawing/2014/main" id="{00000000-0008-0000-0200-0000B8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5" name="Rectangle: Rounded Corners 1464">
                <a:extLst>
                  <a:ext uri="{FF2B5EF4-FFF2-40B4-BE49-F238E27FC236}">
                    <a16:creationId xmlns:a16="http://schemas.microsoft.com/office/drawing/2014/main" id="{00000000-0008-0000-0200-0000B9050000}"/>
                  </a:ext>
                </a:extLst>
              </xdr:cNvPr>
              <xdr:cNvSpPr/>
            </xdr:nvSpPr>
            <xdr:spPr>
              <a:xfrm>
                <a:off x="5419725" y="106499024"/>
                <a:ext cx="640080" cy="5029200"/>
              </a:xfrm>
              <a:prstGeom prst="roundRect">
                <a:avLst>
                  <a:gd name="adj" fmla="val 47917"/>
                </a:avLst>
              </a:prstGeom>
              <a:gradFill>
                <a:gsLst>
                  <a:gs pos="0">
                    <a:srgbClr val="00B0F0"/>
                  </a:gs>
                  <a:gs pos="75000">
                    <a:srgbClr val="00B0F0"/>
                  </a:gs>
                  <a:gs pos="100000">
                    <a:srgbClr val="00206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6" name="Rectangle: Rounded Corners 1465">
                <a:extLst>
                  <a:ext uri="{FF2B5EF4-FFF2-40B4-BE49-F238E27FC236}">
                    <a16:creationId xmlns:a16="http://schemas.microsoft.com/office/drawing/2014/main" id="{00000000-0008-0000-0200-0000BA050000}"/>
                  </a:ext>
                </a:extLst>
              </xdr:cNvPr>
              <xdr:cNvSpPr/>
            </xdr:nvSpPr>
            <xdr:spPr>
              <a:xfrm>
                <a:off x="6200775" y="106499024"/>
                <a:ext cx="640080" cy="5029200"/>
              </a:xfrm>
              <a:prstGeom prst="roundRect">
                <a:avLst>
                  <a:gd name="adj" fmla="val 47917"/>
                </a:avLst>
              </a:prstGeom>
              <a:gradFill>
                <a:gsLst>
                  <a:gs pos="0">
                    <a:srgbClr val="00B0F0"/>
                  </a:gs>
                  <a:gs pos="75000">
                    <a:srgbClr val="00B0F0"/>
                  </a:gs>
                  <a:gs pos="100000">
                    <a:srgbClr val="00206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56" name="Group 1455">
              <a:extLst>
                <a:ext uri="{FF2B5EF4-FFF2-40B4-BE49-F238E27FC236}">
                  <a16:creationId xmlns:a16="http://schemas.microsoft.com/office/drawing/2014/main" id="{00000000-0008-0000-0200-0000B0050000}"/>
                </a:ext>
              </a:extLst>
            </xdr:cNvPr>
            <xdr:cNvGrpSpPr/>
          </xdr:nvGrpSpPr>
          <xdr:grpSpPr>
            <a:xfrm>
              <a:off x="16655688" y="106112422"/>
              <a:ext cx="953589" cy="1109382"/>
              <a:chOff x="1638300" y="0"/>
              <a:chExt cx="1112520" cy="1371600"/>
            </a:xfrm>
          </xdr:grpSpPr>
          <xdr:sp macro="" textlink="">
            <xdr:nvSpPr>
              <xdr:cNvPr id="1457" name="Rectangle 1456">
                <a:extLst>
                  <a:ext uri="{FF2B5EF4-FFF2-40B4-BE49-F238E27FC236}">
                    <a16:creationId xmlns:a16="http://schemas.microsoft.com/office/drawing/2014/main" id="{00000000-0008-0000-0200-0000B1050000}"/>
                  </a:ext>
                </a:extLst>
              </xdr:cNvPr>
              <xdr:cNvSpPr/>
            </xdr:nvSpPr>
            <xdr:spPr>
              <a:xfrm>
                <a:off x="1638300" y="0"/>
                <a:ext cx="457200" cy="1371600"/>
              </a:xfrm>
              <a:prstGeom prst="rect">
                <a:avLst/>
              </a:prstGeom>
              <a:gradFill>
                <a:gsLst>
                  <a:gs pos="0">
                    <a:schemeClr val="bg1">
                      <a:lumMod val="95000"/>
                    </a:schemeClr>
                  </a:gs>
                  <a:gs pos="29000">
                    <a:schemeClr val="bg1">
                      <a:lumMod val="95000"/>
                    </a:schemeClr>
                  </a:gs>
                  <a:gs pos="30000">
                    <a:schemeClr val="accent6">
                      <a:lumMod val="40000"/>
                      <a:lumOff val="60000"/>
                    </a:schemeClr>
                  </a:gs>
                  <a:gs pos="100000">
                    <a:schemeClr val="accent6">
                      <a:lumMod val="60000"/>
                      <a:lumOff val="40000"/>
                    </a:schemeClr>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58" name="Rectangle 1457">
                <a:extLst>
                  <a:ext uri="{FF2B5EF4-FFF2-40B4-BE49-F238E27FC236}">
                    <a16:creationId xmlns:a16="http://schemas.microsoft.com/office/drawing/2014/main" id="{00000000-0008-0000-0200-0000B2050000}"/>
                  </a:ext>
                </a:extLst>
              </xdr:cNvPr>
              <xdr:cNvSpPr/>
            </xdr:nvSpPr>
            <xdr:spPr>
              <a:xfrm>
                <a:off x="2293620" y="0"/>
                <a:ext cx="457200" cy="1371600"/>
              </a:xfrm>
              <a:prstGeom prst="rect">
                <a:avLst/>
              </a:prstGeom>
              <a:gradFill>
                <a:gsLst>
                  <a:gs pos="0">
                    <a:schemeClr val="bg1">
                      <a:lumMod val="95000"/>
                    </a:schemeClr>
                  </a:gs>
                  <a:gs pos="39000">
                    <a:schemeClr val="bg1">
                      <a:lumMod val="95000"/>
                    </a:schemeClr>
                  </a:gs>
                  <a:gs pos="40000">
                    <a:srgbClr val="F0CDFF"/>
                  </a:gs>
                  <a:gs pos="100000">
                    <a:srgbClr val="D7B9FF"/>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59" name="Straight Connector 1458">
                <a:extLst>
                  <a:ext uri="{FF2B5EF4-FFF2-40B4-BE49-F238E27FC236}">
                    <a16:creationId xmlns:a16="http://schemas.microsoft.com/office/drawing/2014/main" id="{00000000-0008-0000-0200-0000B3050000}"/>
                  </a:ext>
                </a:extLst>
              </xdr:cNvPr>
              <xdr:cNvCxnSpPr/>
            </xdr:nvCxnSpPr>
            <xdr:spPr>
              <a:xfrm flipH="1" flipV="1">
                <a:off x="2095500" y="418496"/>
                <a:ext cx="198120" cy="129739"/>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54" name="Speech Bubble: Oval 1453">
            <a:extLst>
              <a:ext uri="{FF2B5EF4-FFF2-40B4-BE49-F238E27FC236}">
                <a16:creationId xmlns:a16="http://schemas.microsoft.com/office/drawing/2014/main" id="{00000000-0008-0000-0200-0000AE050000}"/>
              </a:ext>
            </a:extLst>
          </xdr:cNvPr>
          <xdr:cNvSpPr/>
        </xdr:nvSpPr>
        <xdr:spPr>
          <a:xfrm>
            <a:off x="17419496" y="105297915"/>
            <a:ext cx="2598254" cy="504825"/>
          </a:xfrm>
          <a:prstGeom prst="wedgeEllipseCallout">
            <a:avLst>
              <a:gd name="adj1" fmla="val -48040"/>
              <a:gd name="adj2" fmla="val 49213"/>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9</xdr:col>
      <xdr:colOff>481570</xdr:colOff>
      <xdr:row>560</xdr:row>
      <xdr:rowOff>64697</xdr:rowOff>
    </xdr:from>
    <xdr:to>
      <xdr:col>11</xdr:col>
      <xdr:colOff>172952</xdr:colOff>
      <xdr:row>571</xdr:row>
      <xdr:rowOff>139394</xdr:rowOff>
    </xdr:to>
    <xdr:grpSp>
      <xdr:nvGrpSpPr>
        <xdr:cNvPr id="1372" name="Group 1371">
          <a:extLst>
            <a:ext uri="{FF2B5EF4-FFF2-40B4-BE49-F238E27FC236}">
              <a16:creationId xmlns:a16="http://schemas.microsoft.com/office/drawing/2014/main" id="{00000000-0008-0000-0200-00005C050000}"/>
            </a:ext>
          </a:extLst>
        </xdr:cNvPr>
        <xdr:cNvGrpSpPr>
          <a:grpSpLocks noChangeAspect="1"/>
        </xdr:cNvGrpSpPr>
      </xdr:nvGrpSpPr>
      <xdr:grpSpPr>
        <a:xfrm>
          <a:off x="4619230" y="111636737"/>
          <a:ext cx="697222" cy="2078757"/>
          <a:chOff x="14814021" y="104774975"/>
          <a:chExt cx="1183999" cy="3409972"/>
        </a:xfrm>
      </xdr:grpSpPr>
      <xdr:grpSp>
        <xdr:nvGrpSpPr>
          <xdr:cNvPr id="1439" name="Group 1438">
            <a:extLst>
              <a:ext uri="{FF2B5EF4-FFF2-40B4-BE49-F238E27FC236}">
                <a16:creationId xmlns:a16="http://schemas.microsoft.com/office/drawing/2014/main" id="{00000000-0008-0000-0200-00009F050000}"/>
              </a:ext>
            </a:extLst>
          </xdr:cNvPr>
          <xdr:cNvGrpSpPr/>
        </xdr:nvGrpSpPr>
        <xdr:grpSpPr>
          <a:xfrm>
            <a:off x="14944724" y="105441747"/>
            <a:ext cx="1053296" cy="2743200"/>
            <a:chOff x="14944724" y="105441747"/>
            <a:chExt cx="1053296" cy="2743200"/>
          </a:xfrm>
        </xdr:grpSpPr>
        <xdr:grpSp>
          <xdr:nvGrpSpPr>
            <xdr:cNvPr id="1441" name="Group 1440">
              <a:extLst>
                <a:ext uri="{FF2B5EF4-FFF2-40B4-BE49-F238E27FC236}">
                  <a16:creationId xmlns:a16="http://schemas.microsoft.com/office/drawing/2014/main" id="{00000000-0008-0000-0200-0000A1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46" name="Rectangle: Rounded Corners 1445">
                <a:extLst>
                  <a:ext uri="{FF2B5EF4-FFF2-40B4-BE49-F238E27FC236}">
                    <a16:creationId xmlns:a16="http://schemas.microsoft.com/office/drawing/2014/main" id="{00000000-0008-0000-0200-0000A6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7" name="Rectangle: Rounded Corners 1446">
                <a:extLst>
                  <a:ext uri="{FF2B5EF4-FFF2-40B4-BE49-F238E27FC236}">
                    <a16:creationId xmlns:a16="http://schemas.microsoft.com/office/drawing/2014/main" id="{00000000-0008-0000-0200-0000A7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8" name="Rectangle: Rounded Corners 1447">
                <a:extLst>
                  <a:ext uri="{FF2B5EF4-FFF2-40B4-BE49-F238E27FC236}">
                    <a16:creationId xmlns:a16="http://schemas.microsoft.com/office/drawing/2014/main" id="{00000000-0008-0000-0200-0000A8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9" name="Rectangle: Rounded Corners 1448">
                <a:extLst>
                  <a:ext uri="{FF2B5EF4-FFF2-40B4-BE49-F238E27FC236}">
                    <a16:creationId xmlns:a16="http://schemas.microsoft.com/office/drawing/2014/main" id="{00000000-0008-0000-0200-0000A9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0" name="Rectangle: Rounded Corners 1449">
                <a:extLst>
                  <a:ext uri="{FF2B5EF4-FFF2-40B4-BE49-F238E27FC236}">
                    <a16:creationId xmlns:a16="http://schemas.microsoft.com/office/drawing/2014/main" id="{00000000-0008-0000-0200-0000AA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1" name="Rectangle: Rounded Corners 1450">
                <a:extLst>
                  <a:ext uri="{FF2B5EF4-FFF2-40B4-BE49-F238E27FC236}">
                    <a16:creationId xmlns:a16="http://schemas.microsoft.com/office/drawing/2014/main" id="{00000000-0008-0000-0200-0000AB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2" name="Rectangle: Rounded Corners 1451">
                <a:extLst>
                  <a:ext uri="{FF2B5EF4-FFF2-40B4-BE49-F238E27FC236}">
                    <a16:creationId xmlns:a16="http://schemas.microsoft.com/office/drawing/2014/main" id="{00000000-0008-0000-0200-0000AC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42" name="Group 1441">
              <a:extLst>
                <a:ext uri="{FF2B5EF4-FFF2-40B4-BE49-F238E27FC236}">
                  <a16:creationId xmlns:a16="http://schemas.microsoft.com/office/drawing/2014/main" id="{00000000-0008-0000-0200-0000A2050000}"/>
                </a:ext>
              </a:extLst>
            </xdr:cNvPr>
            <xdr:cNvGrpSpPr/>
          </xdr:nvGrpSpPr>
          <xdr:grpSpPr>
            <a:xfrm>
              <a:off x="15001875" y="106064797"/>
              <a:ext cx="953589" cy="1109382"/>
              <a:chOff x="-11112" y="0"/>
              <a:chExt cx="1112519" cy="1371600"/>
            </a:xfrm>
          </xdr:grpSpPr>
          <xdr:sp macro="" textlink="">
            <xdr:nvSpPr>
              <xdr:cNvPr id="1443" name="Rectangle 1442">
                <a:extLst>
                  <a:ext uri="{FF2B5EF4-FFF2-40B4-BE49-F238E27FC236}">
                    <a16:creationId xmlns:a16="http://schemas.microsoft.com/office/drawing/2014/main" id="{00000000-0008-0000-0200-0000A3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44" name="Rectangle 1443">
                <a:extLst>
                  <a:ext uri="{FF2B5EF4-FFF2-40B4-BE49-F238E27FC236}">
                    <a16:creationId xmlns:a16="http://schemas.microsoft.com/office/drawing/2014/main" id="{00000000-0008-0000-0200-0000A4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45" name="Straight Connector 1444">
                <a:extLst>
                  <a:ext uri="{FF2B5EF4-FFF2-40B4-BE49-F238E27FC236}">
                    <a16:creationId xmlns:a16="http://schemas.microsoft.com/office/drawing/2014/main" id="{00000000-0008-0000-0200-0000A5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40" name="Thought Bubble: Cloud 1439">
            <a:extLst>
              <a:ext uri="{FF2B5EF4-FFF2-40B4-BE49-F238E27FC236}">
                <a16:creationId xmlns:a16="http://schemas.microsoft.com/office/drawing/2014/main" id="{00000000-0008-0000-0200-0000A0050000}"/>
              </a:ext>
            </a:extLst>
          </xdr:cNvPr>
          <xdr:cNvSpPr/>
        </xdr:nvSpPr>
        <xdr:spPr>
          <a:xfrm flipH="1">
            <a:off x="14814021"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7</xdr:col>
      <xdr:colOff>187817</xdr:colOff>
      <xdr:row>563</xdr:row>
      <xdr:rowOff>162486</xdr:rowOff>
    </xdr:from>
    <xdr:to>
      <xdr:col>11</xdr:col>
      <xdr:colOff>373206</xdr:colOff>
      <xdr:row>574</xdr:row>
      <xdr:rowOff>85531</xdr:rowOff>
    </xdr:to>
    <xdr:grpSp>
      <xdr:nvGrpSpPr>
        <xdr:cNvPr id="1376" name="Group 1375">
          <a:extLst>
            <a:ext uri="{FF2B5EF4-FFF2-40B4-BE49-F238E27FC236}">
              <a16:creationId xmlns:a16="http://schemas.microsoft.com/office/drawing/2014/main" id="{00000000-0008-0000-0200-000060050000}"/>
            </a:ext>
          </a:extLst>
        </xdr:cNvPr>
        <xdr:cNvGrpSpPr>
          <a:grpSpLocks noChangeAspect="1"/>
        </xdr:cNvGrpSpPr>
      </xdr:nvGrpSpPr>
      <xdr:grpSpPr>
        <a:xfrm>
          <a:off x="3319637" y="112260306"/>
          <a:ext cx="2197069" cy="1942345"/>
          <a:chOff x="15571811" y="105293615"/>
          <a:chExt cx="3407534" cy="2900857"/>
        </a:xfrm>
      </xdr:grpSpPr>
      <xdr:grpSp>
        <xdr:nvGrpSpPr>
          <xdr:cNvPr id="1383" name="Group 1382">
            <a:extLst>
              <a:ext uri="{FF2B5EF4-FFF2-40B4-BE49-F238E27FC236}">
                <a16:creationId xmlns:a16="http://schemas.microsoft.com/office/drawing/2014/main" id="{00000000-0008-0000-0200-000067050000}"/>
              </a:ext>
            </a:extLst>
          </xdr:cNvPr>
          <xdr:cNvGrpSpPr/>
        </xdr:nvGrpSpPr>
        <xdr:grpSpPr>
          <a:xfrm>
            <a:off x="17926049" y="105451272"/>
            <a:ext cx="1053296" cy="2743200"/>
            <a:chOff x="17926049" y="105451272"/>
            <a:chExt cx="1053296" cy="2743200"/>
          </a:xfrm>
        </xdr:grpSpPr>
        <xdr:grpSp>
          <xdr:nvGrpSpPr>
            <xdr:cNvPr id="1385" name="Group 1384">
              <a:extLst>
                <a:ext uri="{FF2B5EF4-FFF2-40B4-BE49-F238E27FC236}">
                  <a16:creationId xmlns:a16="http://schemas.microsoft.com/office/drawing/2014/main" id="{00000000-0008-0000-0200-000069050000}"/>
                </a:ext>
              </a:extLst>
            </xdr:cNvPr>
            <xdr:cNvGrpSpPr>
              <a:grpSpLocks noChangeAspect="1"/>
            </xdr:cNvGrpSpPr>
          </xdr:nvGrpSpPr>
          <xdr:grpSpPr>
            <a:xfrm>
              <a:off x="17926049" y="105451272"/>
              <a:ext cx="1053296" cy="2743200"/>
              <a:chOff x="4819649" y="104755947"/>
              <a:chExt cx="2600325" cy="6772277"/>
            </a:xfrm>
            <a:solidFill>
              <a:srgbClr val="FF7171"/>
            </a:solidFill>
          </xdr:grpSpPr>
          <xdr:sp macro="" textlink="">
            <xdr:nvSpPr>
              <xdr:cNvPr id="1390" name="Rectangle: Rounded Corners 1389">
                <a:extLst>
                  <a:ext uri="{FF2B5EF4-FFF2-40B4-BE49-F238E27FC236}">
                    <a16:creationId xmlns:a16="http://schemas.microsoft.com/office/drawing/2014/main" id="{00000000-0008-0000-0200-00006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1" name="Rectangle: Rounded Corners 1390">
                <a:extLst>
                  <a:ext uri="{FF2B5EF4-FFF2-40B4-BE49-F238E27FC236}">
                    <a16:creationId xmlns:a16="http://schemas.microsoft.com/office/drawing/2014/main" id="{00000000-0008-0000-0200-00006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2" name="Rectangle: Rounded Corners 1391">
                <a:extLst>
                  <a:ext uri="{FF2B5EF4-FFF2-40B4-BE49-F238E27FC236}">
                    <a16:creationId xmlns:a16="http://schemas.microsoft.com/office/drawing/2014/main" id="{00000000-0008-0000-0200-00007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3" name="Rectangle: Rounded Corners 1392">
                <a:extLst>
                  <a:ext uri="{FF2B5EF4-FFF2-40B4-BE49-F238E27FC236}">
                    <a16:creationId xmlns:a16="http://schemas.microsoft.com/office/drawing/2014/main" id="{00000000-0008-0000-0200-000071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4" name="Rectangle: Rounded Corners 1393">
                <a:extLst>
                  <a:ext uri="{FF2B5EF4-FFF2-40B4-BE49-F238E27FC236}">
                    <a16:creationId xmlns:a16="http://schemas.microsoft.com/office/drawing/2014/main" id="{00000000-0008-0000-0200-00007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5" name="Rectangle: Rounded Corners 1394">
                <a:extLst>
                  <a:ext uri="{FF2B5EF4-FFF2-40B4-BE49-F238E27FC236}">
                    <a16:creationId xmlns:a16="http://schemas.microsoft.com/office/drawing/2014/main" id="{00000000-0008-0000-0200-000073050000}"/>
                  </a:ext>
                </a:extLst>
              </xdr:cNvPr>
              <xdr:cNvSpPr/>
            </xdr:nvSpPr>
            <xdr:spPr>
              <a:xfrm>
                <a:off x="5419725" y="106499024"/>
                <a:ext cx="640080" cy="5029200"/>
              </a:xfrm>
              <a:prstGeom prst="roundRect">
                <a:avLst>
                  <a:gd name="adj" fmla="val 47917"/>
                </a:avLst>
              </a:prstGeom>
              <a:gradFill>
                <a:gsLst>
                  <a:gs pos="0">
                    <a:srgbClr val="FF7171"/>
                  </a:gs>
                  <a:gs pos="75000">
                    <a:srgbClr val="FF7171"/>
                  </a:gs>
                  <a:gs pos="100000">
                    <a:srgbClr val="73000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6" name="Rectangle: Rounded Corners 1395">
                <a:extLst>
                  <a:ext uri="{FF2B5EF4-FFF2-40B4-BE49-F238E27FC236}">
                    <a16:creationId xmlns:a16="http://schemas.microsoft.com/office/drawing/2014/main" id="{00000000-0008-0000-0200-000074050000}"/>
                  </a:ext>
                </a:extLst>
              </xdr:cNvPr>
              <xdr:cNvSpPr/>
            </xdr:nvSpPr>
            <xdr:spPr>
              <a:xfrm>
                <a:off x="6200775" y="106499024"/>
                <a:ext cx="640080" cy="5029200"/>
              </a:xfrm>
              <a:prstGeom prst="roundRect">
                <a:avLst>
                  <a:gd name="adj" fmla="val 47917"/>
                </a:avLst>
              </a:prstGeom>
              <a:gradFill>
                <a:gsLst>
                  <a:gs pos="0">
                    <a:srgbClr val="FF7171"/>
                  </a:gs>
                  <a:gs pos="75000">
                    <a:srgbClr val="FF7171"/>
                  </a:gs>
                  <a:gs pos="100000">
                    <a:srgbClr val="73000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86" name="Group 1385">
              <a:extLst>
                <a:ext uri="{FF2B5EF4-FFF2-40B4-BE49-F238E27FC236}">
                  <a16:creationId xmlns:a16="http://schemas.microsoft.com/office/drawing/2014/main" id="{00000000-0008-0000-0200-00006A050000}"/>
                </a:ext>
              </a:extLst>
            </xdr:cNvPr>
            <xdr:cNvGrpSpPr/>
          </xdr:nvGrpSpPr>
          <xdr:grpSpPr>
            <a:xfrm>
              <a:off x="17977758" y="106083847"/>
              <a:ext cx="953589" cy="1109382"/>
              <a:chOff x="1638300" y="0"/>
              <a:chExt cx="1112520" cy="1371600"/>
            </a:xfrm>
          </xdr:grpSpPr>
          <xdr:sp macro="" textlink="">
            <xdr:nvSpPr>
              <xdr:cNvPr id="1387" name="Rectangle 1386">
                <a:extLst>
                  <a:ext uri="{FF2B5EF4-FFF2-40B4-BE49-F238E27FC236}">
                    <a16:creationId xmlns:a16="http://schemas.microsoft.com/office/drawing/2014/main" id="{00000000-0008-0000-0200-00006B050000}"/>
                  </a:ext>
                </a:extLst>
              </xdr:cNvPr>
              <xdr:cNvSpPr/>
            </xdr:nvSpPr>
            <xdr:spPr>
              <a:xfrm>
                <a:off x="1638300" y="0"/>
                <a:ext cx="457200" cy="1371600"/>
              </a:xfrm>
              <a:prstGeom prst="rect">
                <a:avLst/>
              </a:prstGeom>
              <a:gradFill>
                <a:gsLst>
                  <a:gs pos="0">
                    <a:schemeClr val="bg1">
                      <a:lumMod val="95000"/>
                    </a:schemeClr>
                  </a:gs>
                  <a:gs pos="39000">
                    <a:schemeClr val="bg1">
                      <a:lumMod val="95000"/>
                    </a:schemeClr>
                  </a:gs>
                  <a:gs pos="40000">
                    <a:schemeClr val="accent6">
                      <a:lumMod val="40000"/>
                      <a:lumOff val="60000"/>
                    </a:schemeClr>
                  </a:gs>
                  <a:gs pos="100000">
                    <a:schemeClr val="accent6">
                      <a:lumMod val="60000"/>
                      <a:lumOff val="40000"/>
                    </a:schemeClr>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88" name="Rectangle 1387">
                <a:extLst>
                  <a:ext uri="{FF2B5EF4-FFF2-40B4-BE49-F238E27FC236}">
                    <a16:creationId xmlns:a16="http://schemas.microsoft.com/office/drawing/2014/main" id="{00000000-0008-0000-0200-00006C050000}"/>
                  </a:ext>
                </a:extLst>
              </xdr:cNvPr>
              <xdr:cNvSpPr/>
            </xdr:nvSpPr>
            <xdr:spPr>
              <a:xfrm>
                <a:off x="2293620" y="0"/>
                <a:ext cx="457200" cy="1371600"/>
              </a:xfrm>
              <a:prstGeom prst="rect">
                <a:avLst/>
              </a:prstGeom>
              <a:gradFill>
                <a:gsLst>
                  <a:gs pos="0">
                    <a:schemeClr val="bg1">
                      <a:lumMod val="95000"/>
                    </a:schemeClr>
                  </a:gs>
                  <a:gs pos="29000">
                    <a:schemeClr val="bg1">
                      <a:lumMod val="95000"/>
                    </a:schemeClr>
                  </a:gs>
                  <a:gs pos="30000">
                    <a:srgbClr val="F0CDFF"/>
                  </a:gs>
                  <a:gs pos="100000">
                    <a:srgbClr val="D7B9FF"/>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89" name="Straight Connector 1388">
                <a:extLst>
                  <a:ext uri="{FF2B5EF4-FFF2-40B4-BE49-F238E27FC236}">
                    <a16:creationId xmlns:a16="http://schemas.microsoft.com/office/drawing/2014/main" id="{00000000-0008-0000-0200-00006D050000}"/>
                  </a:ext>
                </a:extLst>
              </xdr:cNvPr>
              <xdr:cNvCxnSpPr/>
            </xdr:nvCxnSpPr>
            <xdr:spPr>
              <a:xfrm flipV="1">
                <a:off x="2084388" y="411288"/>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84" name="Speech Bubble: Oval 1383">
            <a:extLst>
              <a:ext uri="{FF2B5EF4-FFF2-40B4-BE49-F238E27FC236}">
                <a16:creationId xmlns:a16="http://schemas.microsoft.com/office/drawing/2014/main" id="{00000000-0008-0000-0200-000068050000}"/>
              </a:ext>
            </a:extLst>
          </xdr:cNvPr>
          <xdr:cNvSpPr/>
        </xdr:nvSpPr>
        <xdr:spPr>
          <a:xfrm flipH="1">
            <a:off x="15571811" y="105293615"/>
            <a:ext cx="2541529" cy="504825"/>
          </a:xfrm>
          <a:prstGeom prst="wedgeEllipseCallout">
            <a:avLst>
              <a:gd name="adj1" fmla="val -49376"/>
              <a:gd name="adj2" fmla="val 47104"/>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0</xdr:col>
      <xdr:colOff>68089</xdr:colOff>
      <xdr:row>555</xdr:row>
      <xdr:rowOff>59818</xdr:rowOff>
    </xdr:from>
    <xdr:to>
      <xdr:col>5</xdr:col>
      <xdr:colOff>250969</xdr:colOff>
      <xdr:row>559</xdr:row>
      <xdr:rowOff>75852</xdr:rowOff>
    </xdr:to>
    <xdr:grpSp>
      <xdr:nvGrpSpPr>
        <xdr:cNvPr id="1377" name="Group 1376">
          <a:extLst>
            <a:ext uri="{FF2B5EF4-FFF2-40B4-BE49-F238E27FC236}">
              <a16:creationId xmlns:a16="http://schemas.microsoft.com/office/drawing/2014/main" id="{00000000-0008-0000-0200-000061050000}"/>
            </a:ext>
          </a:extLst>
        </xdr:cNvPr>
        <xdr:cNvGrpSpPr/>
      </xdr:nvGrpSpPr>
      <xdr:grpSpPr>
        <a:xfrm>
          <a:off x="68089" y="110755558"/>
          <a:ext cx="2308860" cy="717074"/>
          <a:chOff x="16763508" y="115547025"/>
          <a:chExt cx="2286000" cy="685800"/>
        </a:xfrm>
      </xdr:grpSpPr>
      <xdr:sp macro="" textlink="">
        <xdr:nvSpPr>
          <xdr:cNvPr id="1381" name="Parallelogram 1380">
            <a:extLst>
              <a:ext uri="{FF2B5EF4-FFF2-40B4-BE49-F238E27FC236}">
                <a16:creationId xmlns:a16="http://schemas.microsoft.com/office/drawing/2014/main" id="{00000000-0008-0000-0200-000065050000}"/>
              </a:ext>
            </a:extLst>
          </xdr:cNvPr>
          <xdr:cNvSpPr/>
        </xdr:nvSpPr>
        <xdr:spPr>
          <a:xfrm rot="777534" flipH="1">
            <a:off x="16763508" y="115766132"/>
            <a:ext cx="2286000" cy="228600"/>
          </a:xfrm>
          <a:prstGeom prst="parallelogram">
            <a:avLst/>
          </a:prstGeom>
          <a:solidFill>
            <a:srgbClr val="C2DAF0">
              <a:alpha val="80000"/>
            </a:srgbClr>
          </a:solidFill>
          <a:ln>
            <a:solidFill>
              <a:srgbClr val="9DC3E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82" name="Rectangle 1381">
            <a:extLst>
              <a:ext uri="{FF2B5EF4-FFF2-40B4-BE49-F238E27FC236}">
                <a16:creationId xmlns:a16="http://schemas.microsoft.com/office/drawing/2014/main" id="{00000000-0008-0000-0200-000066050000}"/>
              </a:ext>
            </a:extLst>
          </xdr:cNvPr>
          <xdr:cNvSpPr/>
        </xdr:nvSpPr>
        <xdr:spPr>
          <a:xfrm>
            <a:off x="16883748" y="115547025"/>
            <a:ext cx="2103120" cy="685800"/>
          </a:xfrm>
          <a:prstGeom prst="rect">
            <a:avLst/>
          </a:prstGeom>
          <a:noFill/>
        </xdr:spPr>
        <xdr:txBody>
          <a:bodyPr wrap="none" lIns="91440" tIns="45720" rIns="91440" bIns="45720">
            <a:prstTxWarp prst="textSlantDown">
              <a:avLst>
                <a:gd name="adj" fmla="val 28569"/>
              </a:avLst>
            </a:prstTxWarp>
            <a:spAutoFit/>
          </a:bodyPr>
          <a:lstStyle/>
          <a:p>
            <a:pPr algn="ctr"/>
            <a:r>
              <a:rPr lang="en-US" sz="1100" b="1" cap="none" spc="0">
                <a:ln w="10160">
                  <a:solidFill>
                    <a:schemeClr val="accent6">
                      <a:lumMod val="50000"/>
                    </a:schemeClr>
                  </a:solidFill>
                  <a:prstDash val="solid"/>
                </a:ln>
                <a:solidFill>
                  <a:srgbClr val="C8FFE1"/>
                </a:solidFill>
                <a:effectLst>
                  <a:outerShdw blurRad="38100" dist="22860" dir="5400000" algn="tl" rotWithShape="0">
                    <a:srgbClr val="000000">
                      <a:alpha val="30000"/>
                    </a:srgbClr>
                  </a:outerShdw>
                </a:effectLst>
              </a:rPr>
              <a:t>PSYCHO</a:t>
            </a:r>
            <a:r>
              <a:rPr lang="en-US" sz="1100" b="1" cap="none" spc="0">
                <a:ln w="10160">
                  <a:solidFill>
                    <a:srgbClr val="7030A0"/>
                  </a:solidFill>
                  <a:prstDash val="solid"/>
                </a:ln>
                <a:solidFill>
                  <a:srgbClr val="C8FFE1"/>
                </a:solidFill>
                <a:effectLst>
                  <a:outerShdw blurRad="38100" dist="22860" dir="5400000" algn="tl" rotWithShape="0">
                    <a:srgbClr val="000000">
                      <a:alpha val="30000"/>
                    </a:srgbClr>
                  </a:outerShdw>
                </a:effectLst>
              </a:rPr>
              <a:t>SOCIAL</a:t>
            </a:r>
            <a:r>
              <a:rPr lang="en-US" sz="1100" b="1" cap="none" spc="0">
                <a:ln w="10160">
                  <a:solidFill>
                    <a:schemeClr val="accent5">
                      <a:lumMod val="50000"/>
                    </a:schemeClr>
                  </a:solidFill>
                  <a:prstDash val="solid"/>
                </a:ln>
                <a:solidFill>
                  <a:srgbClr val="C8FFE1"/>
                </a:solidFill>
                <a:effectLst>
                  <a:outerShdw blurRad="38100" dist="22860" dir="5400000" algn="tl" rotWithShape="0">
                    <a:srgbClr val="000000">
                      <a:alpha val="30000"/>
                    </a:srgbClr>
                  </a:outerShdw>
                </a:effectLst>
              </a:rPr>
              <a:t> PRIORITY</a:t>
            </a:r>
          </a:p>
        </xdr:txBody>
      </xdr:sp>
    </xdr:grpSp>
    <xdr:clientData/>
  </xdr:twoCellAnchor>
  <xdr:twoCellAnchor>
    <xdr:from>
      <xdr:col>8</xdr:col>
      <xdr:colOff>239634</xdr:colOff>
      <xdr:row>555</xdr:row>
      <xdr:rowOff>61901</xdr:rowOff>
    </xdr:from>
    <xdr:to>
      <xdr:col>13</xdr:col>
      <xdr:colOff>49134</xdr:colOff>
      <xdr:row>559</xdr:row>
      <xdr:rowOff>69966</xdr:rowOff>
    </xdr:to>
    <xdr:grpSp>
      <xdr:nvGrpSpPr>
        <xdr:cNvPr id="1378" name="Group 1377">
          <a:extLst>
            <a:ext uri="{FF2B5EF4-FFF2-40B4-BE49-F238E27FC236}">
              <a16:creationId xmlns:a16="http://schemas.microsoft.com/office/drawing/2014/main" id="{00000000-0008-0000-0200-000062050000}"/>
            </a:ext>
          </a:extLst>
        </xdr:cNvPr>
        <xdr:cNvGrpSpPr/>
      </xdr:nvGrpSpPr>
      <xdr:grpSpPr>
        <a:xfrm>
          <a:off x="3874374" y="110757641"/>
          <a:ext cx="2324100" cy="709105"/>
          <a:chOff x="19541093" y="115533777"/>
          <a:chExt cx="2286000" cy="678179"/>
        </a:xfrm>
      </xdr:grpSpPr>
      <xdr:sp macro="" textlink="">
        <xdr:nvSpPr>
          <xdr:cNvPr id="1379" name="Parallelogram 1378">
            <a:extLst>
              <a:ext uri="{FF2B5EF4-FFF2-40B4-BE49-F238E27FC236}">
                <a16:creationId xmlns:a16="http://schemas.microsoft.com/office/drawing/2014/main" id="{00000000-0008-0000-0200-000063050000}"/>
              </a:ext>
            </a:extLst>
          </xdr:cNvPr>
          <xdr:cNvSpPr/>
        </xdr:nvSpPr>
        <xdr:spPr>
          <a:xfrm rot="20822466">
            <a:off x="19541093" y="115769690"/>
            <a:ext cx="2286000" cy="201168"/>
          </a:xfrm>
          <a:prstGeom prst="parallelogram">
            <a:avLst/>
          </a:prstGeom>
          <a:solidFill>
            <a:srgbClr val="FFC1C1">
              <a:alpha val="80000"/>
            </a:srgbClr>
          </a:solidFill>
          <a:ln>
            <a:solidFill>
              <a:srgbClr val="FF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80" name="Rectangle 1379">
            <a:extLst>
              <a:ext uri="{FF2B5EF4-FFF2-40B4-BE49-F238E27FC236}">
                <a16:creationId xmlns:a16="http://schemas.microsoft.com/office/drawing/2014/main" id="{00000000-0008-0000-0200-000064050000}"/>
              </a:ext>
            </a:extLst>
          </xdr:cNvPr>
          <xdr:cNvSpPr/>
        </xdr:nvSpPr>
        <xdr:spPr>
          <a:xfrm>
            <a:off x="19649808" y="115533777"/>
            <a:ext cx="2103120" cy="678179"/>
          </a:xfrm>
          <a:prstGeom prst="rect">
            <a:avLst/>
          </a:prstGeom>
          <a:noFill/>
        </xdr:spPr>
        <xdr:txBody>
          <a:bodyPr wrap="none" lIns="91440" tIns="45720" rIns="91440" bIns="45720">
            <a:prstTxWarp prst="textSlantUp">
              <a:avLst>
                <a:gd name="adj" fmla="val 71431"/>
              </a:avLst>
            </a:prstTxWarp>
            <a:spAutoFit/>
          </a:bodyPr>
          <a:lstStyle/>
          <a:p>
            <a:pPr algn="ctr"/>
            <a:r>
              <a:rPr lang="en-US" sz="1100" b="1" cap="none" spc="0">
                <a:ln w="10160">
                  <a:solidFill>
                    <a:schemeClr val="accent6">
                      <a:lumMod val="50000"/>
                    </a:schemeClr>
                  </a:solidFill>
                  <a:prstDash val="solid"/>
                </a:ln>
                <a:solidFill>
                  <a:srgbClr val="C8FFE1"/>
                </a:solidFill>
                <a:effectLst>
                  <a:outerShdw blurRad="38100" dist="22860" dir="5400000" algn="tl" rotWithShape="0">
                    <a:srgbClr val="000000">
                      <a:alpha val="30000"/>
                    </a:srgbClr>
                  </a:outerShdw>
                </a:effectLst>
              </a:rPr>
              <a:t>PSYCHO</a:t>
            </a:r>
            <a:r>
              <a:rPr lang="en-US" sz="1100" b="1" cap="none" spc="0">
                <a:ln w="10160">
                  <a:solidFill>
                    <a:srgbClr val="7030A0"/>
                  </a:solidFill>
                  <a:prstDash val="solid"/>
                </a:ln>
                <a:solidFill>
                  <a:srgbClr val="C8FFE1"/>
                </a:solidFill>
                <a:effectLst>
                  <a:outerShdw blurRad="38100" dist="22860" dir="5400000" algn="tl" rotWithShape="0">
                    <a:srgbClr val="000000">
                      <a:alpha val="30000"/>
                    </a:srgbClr>
                  </a:outerShdw>
                </a:effectLst>
              </a:rPr>
              <a:t>SOCIAL</a:t>
            </a:r>
            <a:r>
              <a:rPr lang="en-US" sz="1100" b="1" cap="none" spc="0">
                <a:ln w="10160">
                  <a:solidFill>
                    <a:srgbClr val="7D0000"/>
                  </a:solidFill>
                  <a:prstDash val="solid"/>
                </a:ln>
                <a:solidFill>
                  <a:srgbClr val="C8FFE1"/>
                </a:solidFill>
                <a:effectLst>
                  <a:outerShdw blurRad="38100" dist="22860" dir="5400000" algn="tl" rotWithShape="0">
                    <a:srgbClr val="000000">
                      <a:alpha val="30000"/>
                    </a:srgbClr>
                  </a:outerShdw>
                </a:effectLst>
              </a:rPr>
              <a:t> PRIORITY</a:t>
            </a:r>
          </a:p>
        </xdr:txBody>
      </xdr:sp>
    </xdr:grpSp>
    <xdr:clientData/>
  </xdr:twoCellAnchor>
  <xdr:twoCellAnchor>
    <xdr:from>
      <xdr:col>11</xdr:col>
      <xdr:colOff>313945</xdr:colOff>
      <xdr:row>560</xdr:row>
      <xdr:rowOff>48777</xdr:rowOff>
    </xdr:from>
    <xdr:to>
      <xdr:col>12</xdr:col>
      <xdr:colOff>493472</xdr:colOff>
      <xdr:row>571</xdr:row>
      <xdr:rowOff>123459</xdr:rowOff>
    </xdr:to>
    <xdr:grpSp>
      <xdr:nvGrpSpPr>
        <xdr:cNvPr id="1373" name="Group 1372">
          <a:extLst>
            <a:ext uri="{FF2B5EF4-FFF2-40B4-BE49-F238E27FC236}">
              <a16:creationId xmlns:a16="http://schemas.microsoft.com/office/drawing/2014/main" id="{00000000-0008-0000-0200-00005D050000}"/>
            </a:ext>
          </a:extLst>
        </xdr:cNvPr>
        <xdr:cNvGrpSpPr>
          <a:grpSpLocks noChangeAspect="1"/>
        </xdr:cNvGrpSpPr>
      </xdr:nvGrpSpPr>
      <xdr:grpSpPr>
        <a:xfrm>
          <a:off x="5457445" y="111620817"/>
          <a:ext cx="682447" cy="2078742"/>
          <a:chOff x="14866938" y="104774999"/>
          <a:chExt cx="1171575" cy="3409948"/>
        </a:xfrm>
      </xdr:grpSpPr>
      <xdr:grpSp>
        <xdr:nvGrpSpPr>
          <xdr:cNvPr id="1425" name="Group 1424">
            <a:extLst>
              <a:ext uri="{FF2B5EF4-FFF2-40B4-BE49-F238E27FC236}">
                <a16:creationId xmlns:a16="http://schemas.microsoft.com/office/drawing/2014/main" id="{00000000-0008-0000-0200-000091050000}"/>
              </a:ext>
            </a:extLst>
          </xdr:cNvPr>
          <xdr:cNvGrpSpPr/>
        </xdr:nvGrpSpPr>
        <xdr:grpSpPr>
          <a:xfrm>
            <a:off x="14944724" y="105441747"/>
            <a:ext cx="1053296" cy="2743200"/>
            <a:chOff x="14944724" y="105441747"/>
            <a:chExt cx="1053296" cy="2743200"/>
          </a:xfrm>
        </xdr:grpSpPr>
        <xdr:grpSp>
          <xdr:nvGrpSpPr>
            <xdr:cNvPr id="1427" name="Group 1426">
              <a:extLst>
                <a:ext uri="{FF2B5EF4-FFF2-40B4-BE49-F238E27FC236}">
                  <a16:creationId xmlns:a16="http://schemas.microsoft.com/office/drawing/2014/main" id="{00000000-0008-0000-0200-000093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32" name="Rectangle: Rounded Corners 1431">
                <a:extLst>
                  <a:ext uri="{FF2B5EF4-FFF2-40B4-BE49-F238E27FC236}">
                    <a16:creationId xmlns:a16="http://schemas.microsoft.com/office/drawing/2014/main" id="{00000000-0008-0000-0200-000098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3" name="Rectangle: Rounded Corners 1432">
                <a:extLst>
                  <a:ext uri="{FF2B5EF4-FFF2-40B4-BE49-F238E27FC236}">
                    <a16:creationId xmlns:a16="http://schemas.microsoft.com/office/drawing/2014/main" id="{00000000-0008-0000-0200-000099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4" name="Rectangle: Rounded Corners 1433">
                <a:extLst>
                  <a:ext uri="{FF2B5EF4-FFF2-40B4-BE49-F238E27FC236}">
                    <a16:creationId xmlns:a16="http://schemas.microsoft.com/office/drawing/2014/main" id="{00000000-0008-0000-0200-00009A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5" name="Rectangle: Rounded Corners 1434">
                <a:extLst>
                  <a:ext uri="{FF2B5EF4-FFF2-40B4-BE49-F238E27FC236}">
                    <a16:creationId xmlns:a16="http://schemas.microsoft.com/office/drawing/2014/main" id="{00000000-0008-0000-0200-00009B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6" name="Rectangle: Rounded Corners 1435">
                <a:extLst>
                  <a:ext uri="{FF2B5EF4-FFF2-40B4-BE49-F238E27FC236}">
                    <a16:creationId xmlns:a16="http://schemas.microsoft.com/office/drawing/2014/main" id="{00000000-0008-0000-0200-00009C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7" name="Rectangle: Rounded Corners 1436">
                <a:extLst>
                  <a:ext uri="{FF2B5EF4-FFF2-40B4-BE49-F238E27FC236}">
                    <a16:creationId xmlns:a16="http://schemas.microsoft.com/office/drawing/2014/main" id="{00000000-0008-0000-0200-00009D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8" name="Rectangle: Rounded Corners 1437">
                <a:extLst>
                  <a:ext uri="{FF2B5EF4-FFF2-40B4-BE49-F238E27FC236}">
                    <a16:creationId xmlns:a16="http://schemas.microsoft.com/office/drawing/2014/main" id="{00000000-0008-0000-0200-00009E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28" name="Group 1427">
              <a:extLst>
                <a:ext uri="{FF2B5EF4-FFF2-40B4-BE49-F238E27FC236}">
                  <a16:creationId xmlns:a16="http://schemas.microsoft.com/office/drawing/2014/main" id="{00000000-0008-0000-0200-000094050000}"/>
                </a:ext>
              </a:extLst>
            </xdr:cNvPr>
            <xdr:cNvGrpSpPr/>
          </xdr:nvGrpSpPr>
          <xdr:grpSpPr>
            <a:xfrm>
              <a:off x="15001875" y="106064797"/>
              <a:ext cx="953589" cy="1109382"/>
              <a:chOff x="-11112" y="0"/>
              <a:chExt cx="1112519" cy="1371600"/>
            </a:xfrm>
          </xdr:grpSpPr>
          <xdr:sp macro="" textlink="">
            <xdr:nvSpPr>
              <xdr:cNvPr id="1429" name="Rectangle 1428">
                <a:extLst>
                  <a:ext uri="{FF2B5EF4-FFF2-40B4-BE49-F238E27FC236}">
                    <a16:creationId xmlns:a16="http://schemas.microsoft.com/office/drawing/2014/main" id="{00000000-0008-0000-0200-000095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30" name="Rectangle 1429">
                <a:extLst>
                  <a:ext uri="{FF2B5EF4-FFF2-40B4-BE49-F238E27FC236}">
                    <a16:creationId xmlns:a16="http://schemas.microsoft.com/office/drawing/2014/main" id="{00000000-0008-0000-0200-000096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31" name="Straight Connector 1430">
                <a:extLst>
                  <a:ext uri="{FF2B5EF4-FFF2-40B4-BE49-F238E27FC236}">
                    <a16:creationId xmlns:a16="http://schemas.microsoft.com/office/drawing/2014/main" id="{00000000-0008-0000-0200-000097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26" name="Thought Bubble: Cloud 1425">
            <a:extLst>
              <a:ext uri="{FF2B5EF4-FFF2-40B4-BE49-F238E27FC236}">
                <a16:creationId xmlns:a16="http://schemas.microsoft.com/office/drawing/2014/main" id="{00000000-0008-0000-0200-000092050000}"/>
              </a:ext>
            </a:extLst>
          </xdr:cNvPr>
          <xdr:cNvSpPr/>
        </xdr:nvSpPr>
        <xdr:spPr>
          <a:xfrm>
            <a:off x="14866938" y="104774999"/>
            <a:ext cx="1171575"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xdr:col>
      <xdr:colOff>1</xdr:colOff>
      <xdr:row>1058</xdr:row>
      <xdr:rowOff>7620</xdr:rowOff>
    </xdr:from>
    <xdr:to>
      <xdr:col>13</xdr:col>
      <xdr:colOff>2</xdr:colOff>
      <xdr:row>1063</xdr:row>
      <xdr:rowOff>7620</xdr:rowOff>
    </xdr:to>
    <xdr:grpSp>
      <xdr:nvGrpSpPr>
        <xdr:cNvPr id="1631" name="Group 1630" hidden="1">
          <a:extLst>
            <a:ext uri="{FF2B5EF4-FFF2-40B4-BE49-F238E27FC236}">
              <a16:creationId xmlns:a16="http://schemas.microsoft.com/office/drawing/2014/main" id="{00000000-0008-0000-0200-00005F060000}"/>
            </a:ext>
          </a:extLst>
        </xdr:cNvPr>
        <xdr:cNvGrpSpPr/>
      </xdr:nvGrpSpPr>
      <xdr:grpSpPr>
        <a:xfrm>
          <a:off x="114301" y="207949800"/>
          <a:ext cx="6035041" cy="1257300"/>
          <a:chOff x="7787640" y="586740"/>
          <a:chExt cx="2983245" cy="922020"/>
        </a:xfrm>
      </xdr:grpSpPr>
      <xdr:sp macro="" textlink="">
        <xdr:nvSpPr>
          <xdr:cNvPr id="1632" name="Speech Bubble: Rectangle with Corners Rounded 1631">
            <a:extLst>
              <a:ext uri="{FF2B5EF4-FFF2-40B4-BE49-F238E27FC236}">
                <a16:creationId xmlns:a16="http://schemas.microsoft.com/office/drawing/2014/main" id="{00000000-0008-0000-0200-00006006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633" name="Speech Bubble: Rectangle with Corners Rounded 1632">
            <a:extLst>
              <a:ext uri="{FF2B5EF4-FFF2-40B4-BE49-F238E27FC236}">
                <a16:creationId xmlns:a16="http://schemas.microsoft.com/office/drawing/2014/main" id="{00000000-0008-0000-0200-00006106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122767</xdr:colOff>
      <xdr:row>1086</xdr:row>
      <xdr:rowOff>15251</xdr:rowOff>
    </xdr:from>
    <xdr:to>
      <xdr:col>6</xdr:col>
      <xdr:colOff>372532</xdr:colOff>
      <xdr:row>1088</xdr:row>
      <xdr:rowOff>27519</xdr:rowOff>
    </xdr:to>
    <xdr:grpSp>
      <xdr:nvGrpSpPr>
        <xdr:cNvPr id="1639" name="Group 1638">
          <a:extLst>
            <a:ext uri="{FF2B5EF4-FFF2-40B4-BE49-F238E27FC236}">
              <a16:creationId xmlns:a16="http://schemas.microsoft.com/office/drawing/2014/main" id="{00000000-0008-0000-0200-000067060000}"/>
            </a:ext>
          </a:extLst>
        </xdr:cNvPr>
        <xdr:cNvGrpSpPr/>
      </xdr:nvGrpSpPr>
      <xdr:grpSpPr>
        <a:xfrm>
          <a:off x="237067" y="214937351"/>
          <a:ext cx="2764365" cy="515188"/>
          <a:chOff x="6434667" y="11364816"/>
          <a:chExt cx="2726265" cy="511801"/>
        </a:xfrm>
        <a:effectLst>
          <a:outerShdw blurRad="63500" sx="102000" sy="102000" algn="ctr" rotWithShape="0">
            <a:prstClr val="black">
              <a:alpha val="40000"/>
            </a:prstClr>
          </a:outerShdw>
        </a:effectLst>
      </xdr:grpSpPr>
      <xdr:sp macro="" textlink="">
        <xdr:nvSpPr>
          <xdr:cNvPr id="1640" name="Right Brace 1639">
            <a:extLst>
              <a:ext uri="{FF2B5EF4-FFF2-40B4-BE49-F238E27FC236}">
                <a16:creationId xmlns:a16="http://schemas.microsoft.com/office/drawing/2014/main" id="{00000000-0008-0000-0200-000068060000}"/>
              </a:ext>
            </a:extLst>
          </xdr:cNvPr>
          <xdr:cNvSpPr/>
        </xdr:nvSpPr>
        <xdr:spPr>
          <a:xfrm rot="5867747">
            <a:off x="7697893" y="10763672"/>
            <a:ext cx="182880" cy="1828800"/>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41" name="Right Bracket 1640">
            <a:extLst>
              <a:ext uri="{FF2B5EF4-FFF2-40B4-BE49-F238E27FC236}">
                <a16:creationId xmlns:a16="http://schemas.microsoft.com/office/drawing/2014/main" id="{00000000-0008-0000-0200-000069060000}"/>
              </a:ext>
            </a:extLst>
          </xdr:cNvPr>
          <xdr:cNvSpPr/>
        </xdr:nvSpPr>
        <xdr:spPr>
          <a:xfrm rot="5400000">
            <a:off x="6850803" y="10948680"/>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2" name="Right Bracket 1641">
            <a:extLst>
              <a:ext uri="{FF2B5EF4-FFF2-40B4-BE49-F238E27FC236}">
                <a16:creationId xmlns:a16="http://schemas.microsoft.com/office/drawing/2014/main" id="{00000000-0008-0000-0200-00006A060000}"/>
              </a:ext>
            </a:extLst>
          </xdr:cNvPr>
          <xdr:cNvSpPr/>
        </xdr:nvSpPr>
        <xdr:spPr>
          <a:xfrm rot="5400000">
            <a:off x="8662668" y="11202661"/>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3" name="Flowchart: Delay 1642">
            <a:extLst>
              <a:ext uri="{FF2B5EF4-FFF2-40B4-BE49-F238E27FC236}">
                <a16:creationId xmlns:a16="http://schemas.microsoft.com/office/drawing/2014/main" id="{00000000-0008-0000-0200-00006B06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97371</xdr:colOff>
      <xdr:row>1086</xdr:row>
      <xdr:rowOff>15253</xdr:rowOff>
    </xdr:from>
    <xdr:to>
      <xdr:col>12</xdr:col>
      <xdr:colOff>347136</xdr:colOff>
      <xdr:row>1088</xdr:row>
      <xdr:rowOff>27520</xdr:rowOff>
    </xdr:to>
    <xdr:grpSp>
      <xdr:nvGrpSpPr>
        <xdr:cNvPr id="1644" name="Group 1643">
          <a:extLst>
            <a:ext uri="{FF2B5EF4-FFF2-40B4-BE49-F238E27FC236}">
              <a16:creationId xmlns:a16="http://schemas.microsoft.com/office/drawing/2014/main" id="{00000000-0008-0000-0200-00006C060000}"/>
            </a:ext>
          </a:extLst>
        </xdr:cNvPr>
        <xdr:cNvGrpSpPr/>
      </xdr:nvGrpSpPr>
      <xdr:grpSpPr>
        <a:xfrm>
          <a:off x="3229191" y="214937353"/>
          <a:ext cx="2764365" cy="515187"/>
          <a:chOff x="9381071" y="11364818"/>
          <a:chExt cx="2726265" cy="511800"/>
        </a:xfrm>
        <a:effectLst>
          <a:outerShdw blurRad="63500" sx="102000" sy="102000" algn="ctr" rotWithShape="0">
            <a:prstClr val="black">
              <a:alpha val="40000"/>
            </a:prstClr>
          </a:outerShdw>
        </a:effectLst>
      </xdr:grpSpPr>
      <xdr:sp macro="" textlink="">
        <xdr:nvSpPr>
          <xdr:cNvPr id="1645" name="Right Brace 1644">
            <a:extLst>
              <a:ext uri="{FF2B5EF4-FFF2-40B4-BE49-F238E27FC236}">
                <a16:creationId xmlns:a16="http://schemas.microsoft.com/office/drawing/2014/main" id="{00000000-0008-0000-0200-00006D060000}"/>
              </a:ext>
            </a:extLst>
          </xdr:cNvPr>
          <xdr:cNvSpPr/>
        </xdr:nvSpPr>
        <xdr:spPr>
          <a:xfrm rot="4920000">
            <a:off x="10665463" y="10763672"/>
            <a:ext cx="182880" cy="1828800"/>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46" name="Right Bracket 1645">
            <a:extLst>
              <a:ext uri="{FF2B5EF4-FFF2-40B4-BE49-F238E27FC236}">
                <a16:creationId xmlns:a16="http://schemas.microsoft.com/office/drawing/2014/main" id="{00000000-0008-0000-0200-00006E060000}"/>
              </a:ext>
            </a:extLst>
          </xdr:cNvPr>
          <xdr:cNvSpPr/>
        </xdr:nvSpPr>
        <xdr:spPr>
          <a:xfrm rot="5400000">
            <a:off x="9797207" y="11202661"/>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7" name="Right Bracket 1646">
            <a:extLst>
              <a:ext uri="{FF2B5EF4-FFF2-40B4-BE49-F238E27FC236}">
                <a16:creationId xmlns:a16="http://schemas.microsoft.com/office/drawing/2014/main" id="{00000000-0008-0000-0200-00006F060000}"/>
              </a:ext>
            </a:extLst>
          </xdr:cNvPr>
          <xdr:cNvSpPr/>
        </xdr:nvSpPr>
        <xdr:spPr>
          <a:xfrm rot="5400000">
            <a:off x="11609072" y="10948682"/>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8" name="Flowchart: Delay 1647">
            <a:extLst>
              <a:ext uri="{FF2B5EF4-FFF2-40B4-BE49-F238E27FC236}">
                <a16:creationId xmlns:a16="http://schemas.microsoft.com/office/drawing/2014/main" id="{00000000-0008-0000-0200-000070060000}"/>
              </a:ext>
            </a:extLst>
          </xdr:cNvPr>
          <xdr:cNvSpPr/>
        </xdr:nvSpPr>
        <xdr:spPr>
          <a:xfrm rot="16200000">
            <a:off x="10723033" y="11675534"/>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0</xdr:col>
      <xdr:colOff>99060</xdr:colOff>
      <xdr:row>1121</xdr:row>
      <xdr:rowOff>167640</xdr:rowOff>
    </xdr:from>
    <xdr:to>
      <xdr:col>6</xdr:col>
      <xdr:colOff>487680</xdr:colOff>
      <xdr:row>1122</xdr:row>
      <xdr:rowOff>365760</xdr:rowOff>
    </xdr:to>
    <xdr:sp macro="" textlink="">
      <xdr:nvSpPr>
        <xdr:cNvPr id="1649" name="Arrow: Left 1648">
          <a:extLst>
            <a:ext uri="{FF2B5EF4-FFF2-40B4-BE49-F238E27FC236}">
              <a16:creationId xmlns:a16="http://schemas.microsoft.com/office/drawing/2014/main" id="{00000000-0008-0000-0200-000071060000}"/>
            </a:ext>
          </a:extLst>
        </xdr:cNvPr>
        <xdr:cNvSpPr/>
      </xdr:nvSpPr>
      <xdr:spPr>
        <a:xfrm>
          <a:off x="6377940" y="28178760"/>
          <a:ext cx="3025140" cy="411480"/>
        </a:xfrm>
        <a:prstGeom prst="leftArrow">
          <a:avLst>
            <a:gd name="adj1" fmla="val 100000"/>
            <a:gd name="adj2" fmla="val 50000"/>
          </a:avLst>
        </a:prstGeom>
        <a:solidFill>
          <a:schemeClr val="accent5">
            <a:lumMod val="20000"/>
            <a:lumOff val="80000"/>
          </a:schemeClr>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r>
            <a:rPr lang="en-US" sz="2800">
              <a:solidFill>
                <a:srgbClr val="002060"/>
              </a:solidFill>
              <a:effectLst>
                <a:outerShdw blurRad="63500" sx="102000" sy="102000" algn="ctr" rotWithShape="0">
                  <a:prstClr val="black">
                    <a:alpha val="40000"/>
                  </a:prstClr>
                </a:outerShdw>
              </a:effectLst>
              <a:latin typeface="Arial Black" panose="020B0A04020102020204" pitchFamily="34" charset="0"/>
            </a:rPr>
            <a:t>WIDER-focus</a:t>
          </a:r>
        </a:p>
      </xdr:txBody>
    </xdr:sp>
    <xdr:clientData/>
  </xdr:twoCellAnchor>
  <xdr:twoCellAnchor>
    <xdr:from>
      <xdr:col>7</xdr:col>
      <xdr:colOff>7620</xdr:colOff>
      <xdr:row>1121</xdr:row>
      <xdr:rowOff>167640</xdr:rowOff>
    </xdr:from>
    <xdr:to>
      <xdr:col>13</xdr:col>
      <xdr:colOff>22860</xdr:colOff>
      <xdr:row>1122</xdr:row>
      <xdr:rowOff>365760</xdr:rowOff>
    </xdr:to>
    <xdr:sp macro="" textlink="">
      <xdr:nvSpPr>
        <xdr:cNvPr id="1650" name="Arrow: Left 1649">
          <a:extLst>
            <a:ext uri="{FF2B5EF4-FFF2-40B4-BE49-F238E27FC236}">
              <a16:creationId xmlns:a16="http://schemas.microsoft.com/office/drawing/2014/main" id="{00000000-0008-0000-0200-000072060000}"/>
            </a:ext>
          </a:extLst>
        </xdr:cNvPr>
        <xdr:cNvSpPr/>
      </xdr:nvSpPr>
      <xdr:spPr>
        <a:xfrm flipH="1">
          <a:off x="9425940" y="28178760"/>
          <a:ext cx="3032760" cy="411480"/>
        </a:xfrm>
        <a:prstGeom prst="leftArrow">
          <a:avLst>
            <a:gd name="adj1" fmla="val 100000"/>
            <a:gd name="adj2" fmla="val 50000"/>
          </a:avLst>
        </a:prstGeom>
        <a:solidFill>
          <a:schemeClr val="accent2">
            <a:lumMod val="20000"/>
            <a:lumOff val="80000"/>
          </a:schemeClr>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r>
            <a:rPr lang="en-US" sz="2800">
              <a:solidFill>
                <a:srgbClr val="640000"/>
              </a:solidFill>
              <a:effectLst>
                <a:outerShdw blurRad="63500" sx="102000" sy="102000" algn="ctr" rotWithShape="0">
                  <a:prstClr val="black">
                    <a:alpha val="40000"/>
                  </a:prstClr>
                </a:outerShdw>
              </a:effectLst>
              <a:latin typeface="Arial Black" panose="020B0A04020102020204" pitchFamily="34" charset="0"/>
            </a:rPr>
            <a:t>DEEPER-focus</a:t>
          </a:r>
        </a:p>
      </xdr:txBody>
    </xdr:sp>
    <xdr:clientData/>
  </xdr:twoCellAnchor>
  <xdr:twoCellAnchor>
    <xdr:from>
      <xdr:col>1</xdr:col>
      <xdr:colOff>36178</xdr:colOff>
      <xdr:row>1123</xdr:row>
      <xdr:rowOff>374283</xdr:rowOff>
    </xdr:from>
    <xdr:to>
      <xdr:col>12</xdr:col>
      <xdr:colOff>437314</xdr:colOff>
      <xdr:row>1124</xdr:row>
      <xdr:rowOff>169870</xdr:rowOff>
    </xdr:to>
    <xdr:grpSp>
      <xdr:nvGrpSpPr>
        <xdr:cNvPr id="9" name="Group 8">
          <a:extLst>
            <a:ext uri="{FF2B5EF4-FFF2-40B4-BE49-F238E27FC236}">
              <a16:creationId xmlns:a16="http://schemas.microsoft.com/office/drawing/2014/main" id="{00000000-0008-0000-0200-000009000000}"/>
            </a:ext>
          </a:extLst>
        </xdr:cNvPr>
        <xdr:cNvGrpSpPr/>
      </xdr:nvGrpSpPr>
      <xdr:grpSpPr>
        <a:xfrm>
          <a:off x="150478" y="223754583"/>
          <a:ext cx="5933256" cy="176587"/>
          <a:chOff x="158098" y="155875623"/>
          <a:chExt cx="5849436" cy="176587"/>
        </a:xfrm>
      </xdr:grpSpPr>
      <xdr:sp macro="" textlink="">
        <xdr:nvSpPr>
          <xdr:cNvPr id="1686" name="wide-yet-shallow">
            <a:extLst>
              <a:ext uri="{FF2B5EF4-FFF2-40B4-BE49-F238E27FC236}">
                <a16:creationId xmlns:a16="http://schemas.microsoft.com/office/drawing/2014/main" id="{00000000-0008-0000-0200-000096060000}"/>
              </a:ext>
            </a:extLst>
          </xdr:cNvPr>
          <xdr:cNvSpPr/>
        </xdr:nvSpPr>
        <xdr:spPr>
          <a:xfrm>
            <a:off x="158098" y="155875623"/>
            <a:ext cx="907363" cy="176587"/>
          </a:xfrm>
          <a:prstGeom prst="rect">
            <a:avLst/>
          </a:prstGeom>
          <a:noFill/>
        </xdr:spPr>
        <xdr:txBody>
          <a:bodyPr wrap="none" lIns="0" tIns="0" rIns="0" bIns="0">
            <a:spAutoFit/>
          </a:bodyPr>
          <a:lstStyle/>
          <a:p>
            <a:pPr algn="ctr"/>
            <a:r>
              <a:rPr lang="en-US" sz="1200" b="1" cap="none" spc="-50" baseline="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wide-yet-shallow</a:t>
            </a:r>
            <a:endParaRPr lang="en-US" sz="1100" b="1" cap="none" spc="-50" baseline="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7" name="wide-then-deep">
            <a:extLst>
              <a:ext uri="{FF2B5EF4-FFF2-40B4-BE49-F238E27FC236}">
                <a16:creationId xmlns:a16="http://schemas.microsoft.com/office/drawing/2014/main" id="{00000000-0008-0000-0200-000097060000}"/>
              </a:ext>
            </a:extLst>
          </xdr:cNvPr>
          <xdr:cNvSpPr/>
        </xdr:nvSpPr>
        <xdr:spPr>
          <a:xfrm>
            <a:off x="1145068" y="155875623"/>
            <a:ext cx="925510" cy="176587"/>
          </a:xfrm>
          <a:prstGeom prst="rect">
            <a:avLst/>
          </a:prstGeom>
          <a:noFill/>
        </xdr:spPr>
        <xdr:txBody>
          <a:bodyPr wrap="none" lIns="0" tIns="0" rIns="0" bIns="0">
            <a:spAutoFit/>
          </a:bodyPr>
          <a:lstStyle/>
          <a:p>
            <a:pPr algn="ctr"/>
            <a:r>
              <a:rPr lang="en-US" sz="12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wide-then-deep</a:t>
            </a:r>
            <a:endParaRPr lang="en-US" sz="11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8" name="wide-and-deep">
            <a:extLst>
              <a:ext uri="{FF2B5EF4-FFF2-40B4-BE49-F238E27FC236}">
                <a16:creationId xmlns:a16="http://schemas.microsoft.com/office/drawing/2014/main" id="{00000000-0008-0000-0200-000098060000}"/>
              </a:ext>
            </a:extLst>
          </xdr:cNvPr>
          <xdr:cNvSpPr/>
        </xdr:nvSpPr>
        <xdr:spPr>
          <a:xfrm>
            <a:off x="2156667" y="155875623"/>
            <a:ext cx="883512" cy="176587"/>
          </a:xfrm>
          <a:prstGeom prst="rect">
            <a:avLst/>
          </a:prstGeom>
          <a:noFill/>
        </xdr:spPr>
        <xdr:txBody>
          <a:bodyPr wrap="none" lIns="0" tIns="0" rIns="0" bIns="0">
            <a:spAutoFit/>
          </a:bodyPr>
          <a:lstStyle/>
          <a:p>
            <a:pPr algn="ctr"/>
            <a:r>
              <a:rPr lang="en-US" sz="12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wide-and-deep</a:t>
            </a:r>
            <a:endParaRPr lang="en-US" sz="11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9" name="deep-and-wide">
            <a:extLst>
              <a:ext uri="{FF2B5EF4-FFF2-40B4-BE49-F238E27FC236}">
                <a16:creationId xmlns:a16="http://schemas.microsoft.com/office/drawing/2014/main" id="{00000000-0008-0000-0200-000099060000}"/>
              </a:ext>
            </a:extLst>
          </xdr:cNvPr>
          <xdr:cNvSpPr/>
        </xdr:nvSpPr>
        <xdr:spPr>
          <a:xfrm>
            <a:off x="3152710" y="155875623"/>
            <a:ext cx="883512" cy="176587"/>
          </a:xfrm>
          <a:prstGeom prst="rect">
            <a:avLst/>
          </a:prstGeom>
          <a:noFill/>
        </xdr:spPr>
        <xdr:txBody>
          <a:bodyPr wrap="none" lIns="0" tIns="0" rIns="0" bIns="0">
            <a:spAutoFit/>
          </a:bodyPr>
          <a:lstStyle/>
          <a:p>
            <a:pPr algn="ctr"/>
            <a:r>
              <a:rPr lang="en-US" sz="12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deep-and-wide</a:t>
            </a:r>
            <a:endParaRPr lang="en-US" sz="11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90" name="deep-then-wide">
            <a:extLst>
              <a:ext uri="{FF2B5EF4-FFF2-40B4-BE49-F238E27FC236}">
                <a16:creationId xmlns:a16="http://schemas.microsoft.com/office/drawing/2014/main" id="{00000000-0008-0000-0200-00009A060000}"/>
              </a:ext>
            </a:extLst>
          </xdr:cNvPr>
          <xdr:cNvSpPr/>
        </xdr:nvSpPr>
        <xdr:spPr>
          <a:xfrm>
            <a:off x="4111427" y="155875623"/>
            <a:ext cx="925510" cy="176587"/>
          </a:xfrm>
          <a:prstGeom prst="rect">
            <a:avLst/>
          </a:prstGeom>
          <a:noFill/>
        </xdr:spPr>
        <xdr:txBody>
          <a:bodyPr wrap="none" lIns="0" tIns="0" rIns="0" bIns="0">
            <a:spAutoFit/>
          </a:bodyPr>
          <a:lstStyle/>
          <a:p>
            <a:pPr algn="ctr"/>
            <a:r>
              <a:rPr lang="en-US" sz="12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deep-then-wide</a:t>
            </a:r>
            <a:endParaRPr lang="en-US" sz="11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91" name="deep-yet-narrow">
            <a:extLst>
              <a:ext uri="{FF2B5EF4-FFF2-40B4-BE49-F238E27FC236}">
                <a16:creationId xmlns:a16="http://schemas.microsoft.com/office/drawing/2014/main" id="{00000000-0008-0000-0200-00009B060000}"/>
              </a:ext>
            </a:extLst>
          </xdr:cNvPr>
          <xdr:cNvSpPr/>
        </xdr:nvSpPr>
        <xdr:spPr>
          <a:xfrm>
            <a:off x="5122035" y="155875623"/>
            <a:ext cx="885499" cy="176587"/>
          </a:xfrm>
          <a:prstGeom prst="rect">
            <a:avLst/>
          </a:prstGeom>
          <a:noFill/>
        </xdr:spPr>
        <xdr:txBody>
          <a:bodyPr wrap="none" lIns="0" tIns="0" rIns="0" bIns="0">
            <a:spAutoFit/>
          </a:bodyPr>
          <a:lstStyle/>
          <a:p>
            <a:pPr algn="ctr"/>
            <a:r>
              <a:rPr lang="en-US" sz="1200" b="1" cap="none" spc="-50" baseline="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deep-yet-narrow</a:t>
            </a:r>
            <a:endParaRPr lang="en-US" sz="1100" b="1" cap="none" spc="-50" baseline="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grpSp>
    <xdr:clientData/>
  </xdr:twoCellAnchor>
  <xdr:twoCellAnchor>
    <xdr:from>
      <xdr:col>1</xdr:col>
      <xdr:colOff>143936</xdr:colOff>
      <xdr:row>1170</xdr:row>
      <xdr:rowOff>176954</xdr:rowOff>
    </xdr:from>
    <xdr:to>
      <xdr:col>6</xdr:col>
      <xdr:colOff>389469</xdr:colOff>
      <xdr:row>1173</xdr:row>
      <xdr:rowOff>6624</xdr:rowOff>
    </xdr:to>
    <xdr:grpSp>
      <xdr:nvGrpSpPr>
        <xdr:cNvPr id="1694" name="Group 1693">
          <a:extLst>
            <a:ext uri="{FF2B5EF4-FFF2-40B4-BE49-F238E27FC236}">
              <a16:creationId xmlns:a16="http://schemas.microsoft.com/office/drawing/2014/main" id="{00000000-0008-0000-0200-00009E060000}"/>
            </a:ext>
          </a:extLst>
        </xdr:cNvPr>
        <xdr:cNvGrpSpPr>
          <a:grpSpLocks noChangeAspect="1"/>
        </xdr:cNvGrpSpPr>
      </xdr:nvGrpSpPr>
      <xdr:grpSpPr>
        <a:xfrm>
          <a:off x="258236" y="234110954"/>
          <a:ext cx="2760133" cy="584050"/>
          <a:chOff x="6434667" y="11364816"/>
          <a:chExt cx="2726265" cy="511801"/>
        </a:xfrm>
        <a:effectLst>
          <a:outerShdw blurRad="63500" sx="102000" sy="102000" algn="ctr" rotWithShape="0">
            <a:prstClr val="black">
              <a:alpha val="40000"/>
            </a:prstClr>
          </a:outerShdw>
        </a:effectLst>
      </xdr:grpSpPr>
      <xdr:sp macro="" textlink="">
        <xdr:nvSpPr>
          <xdr:cNvPr id="1695" name="Right Brace 1694">
            <a:extLst>
              <a:ext uri="{FF2B5EF4-FFF2-40B4-BE49-F238E27FC236}">
                <a16:creationId xmlns:a16="http://schemas.microsoft.com/office/drawing/2014/main" id="{00000000-0008-0000-0200-00009F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96" name="Right Bracket 1695">
            <a:extLst>
              <a:ext uri="{FF2B5EF4-FFF2-40B4-BE49-F238E27FC236}">
                <a16:creationId xmlns:a16="http://schemas.microsoft.com/office/drawing/2014/main" id="{00000000-0008-0000-0200-0000A0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97" name="Right Bracket 1696">
            <a:extLst>
              <a:ext uri="{FF2B5EF4-FFF2-40B4-BE49-F238E27FC236}">
                <a16:creationId xmlns:a16="http://schemas.microsoft.com/office/drawing/2014/main" id="{00000000-0008-0000-0200-0000A1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98" name="Flowchart: Delay 1697">
            <a:extLst>
              <a:ext uri="{FF2B5EF4-FFF2-40B4-BE49-F238E27FC236}">
                <a16:creationId xmlns:a16="http://schemas.microsoft.com/office/drawing/2014/main" id="{00000000-0008-0000-0200-0000A2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1</xdr:col>
      <xdr:colOff>110067</xdr:colOff>
      <xdr:row>1163</xdr:row>
      <xdr:rowOff>177799</xdr:rowOff>
    </xdr:from>
    <xdr:to>
      <xdr:col>6</xdr:col>
      <xdr:colOff>355600</xdr:colOff>
      <xdr:row>1166</xdr:row>
      <xdr:rowOff>15089</xdr:rowOff>
    </xdr:to>
    <xdr:grpSp>
      <xdr:nvGrpSpPr>
        <xdr:cNvPr id="1699" name="Group 1698">
          <a:extLst>
            <a:ext uri="{FF2B5EF4-FFF2-40B4-BE49-F238E27FC236}">
              <a16:creationId xmlns:a16="http://schemas.microsoft.com/office/drawing/2014/main" id="{00000000-0008-0000-0200-0000A3060000}"/>
            </a:ext>
          </a:extLst>
        </xdr:cNvPr>
        <xdr:cNvGrpSpPr>
          <a:grpSpLocks noChangeAspect="1"/>
        </xdr:cNvGrpSpPr>
      </xdr:nvGrpSpPr>
      <xdr:grpSpPr>
        <a:xfrm flipH="1">
          <a:off x="224367" y="232351579"/>
          <a:ext cx="2760133" cy="591670"/>
          <a:chOff x="6434667" y="11364816"/>
          <a:chExt cx="2726265" cy="511801"/>
        </a:xfrm>
        <a:effectLst>
          <a:outerShdw blurRad="63500" sx="102000" sy="102000" algn="ctr" rotWithShape="0">
            <a:prstClr val="black">
              <a:alpha val="40000"/>
            </a:prstClr>
          </a:outerShdw>
        </a:effectLst>
      </xdr:grpSpPr>
      <xdr:sp macro="" textlink="">
        <xdr:nvSpPr>
          <xdr:cNvPr id="1700" name="Right Brace 1699">
            <a:extLst>
              <a:ext uri="{FF2B5EF4-FFF2-40B4-BE49-F238E27FC236}">
                <a16:creationId xmlns:a16="http://schemas.microsoft.com/office/drawing/2014/main" id="{00000000-0008-0000-0200-0000A4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01" name="Right Bracket 1700">
            <a:extLst>
              <a:ext uri="{FF2B5EF4-FFF2-40B4-BE49-F238E27FC236}">
                <a16:creationId xmlns:a16="http://schemas.microsoft.com/office/drawing/2014/main" id="{00000000-0008-0000-0200-0000A5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2" name="Right Bracket 1701">
            <a:extLst>
              <a:ext uri="{FF2B5EF4-FFF2-40B4-BE49-F238E27FC236}">
                <a16:creationId xmlns:a16="http://schemas.microsoft.com/office/drawing/2014/main" id="{00000000-0008-0000-0200-0000A6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3" name="Flowchart: Delay 1702">
            <a:extLst>
              <a:ext uri="{FF2B5EF4-FFF2-40B4-BE49-F238E27FC236}">
                <a16:creationId xmlns:a16="http://schemas.microsoft.com/office/drawing/2014/main" id="{00000000-0008-0000-0200-0000A7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143935</xdr:colOff>
      <xdr:row>1170</xdr:row>
      <xdr:rowOff>176954</xdr:rowOff>
    </xdr:from>
    <xdr:to>
      <xdr:col>12</xdr:col>
      <xdr:colOff>389468</xdr:colOff>
      <xdr:row>1173</xdr:row>
      <xdr:rowOff>6624</xdr:rowOff>
    </xdr:to>
    <xdr:grpSp>
      <xdr:nvGrpSpPr>
        <xdr:cNvPr id="1704" name="Group 1703">
          <a:extLst>
            <a:ext uri="{FF2B5EF4-FFF2-40B4-BE49-F238E27FC236}">
              <a16:creationId xmlns:a16="http://schemas.microsoft.com/office/drawing/2014/main" id="{00000000-0008-0000-0200-0000A8060000}"/>
            </a:ext>
          </a:extLst>
        </xdr:cNvPr>
        <xdr:cNvGrpSpPr>
          <a:grpSpLocks noChangeAspect="1"/>
        </xdr:cNvGrpSpPr>
      </xdr:nvGrpSpPr>
      <xdr:grpSpPr>
        <a:xfrm>
          <a:off x="3275755" y="234110954"/>
          <a:ext cx="2760133" cy="584050"/>
          <a:chOff x="6434667" y="11364816"/>
          <a:chExt cx="2726265" cy="511801"/>
        </a:xfrm>
        <a:effectLst>
          <a:outerShdw blurRad="63500" sx="102000" sy="102000" algn="ctr" rotWithShape="0">
            <a:prstClr val="black">
              <a:alpha val="40000"/>
            </a:prstClr>
          </a:outerShdw>
        </a:effectLst>
      </xdr:grpSpPr>
      <xdr:sp macro="" textlink="">
        <xdr:nvSpPr>
          <xdr:cNvPr id="1705" name="Right Brace 1704">
            <a:extLst>
              <a:ext uri="{FF2B5EF4-FFF2-40B4-BE49-F238E27FC236}">
                <a16:creationId xmlns:a16="http://schemas.microsoft.com/office/drawing/2014/main" id="{00000000-0008-0000-0200-0000A9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06" name="Right Bracket 1705">
            <a:extLst>
              <a:ext uri="{FF2B5EF4-FFF2-40B4-BE49-F238E27FC236}">
                <a16:creationId xmlns:a16="http://schemas.microsoft.com/office/drawing/2014/main" id="{00000000-0008-0000-0200-0000AA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7" name="Right Bracket 1706">
            <a:extLst>
              <a:ext uri="{FF2B5EF4-FFF2-40B4-BE49-F238E27FC236}">
                <a16:creationId xmlns:a16="http://schemas.microsoft.com/office/drawing/2014/main" id="{00000000-0008-0000-0200-0000AB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8" name="Flowchart: Delay 1707">
            <a:extLst>
              <a:ext uri="{FF2B5EF4-FFF2-40B4-BE49-F238E27FC236}">
                <a16:creationId xmlns:a16="http://schemas.microsoft.com/office/drawing/2014/main" id="{00000000-0008-0000-0200-0000AC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110066</xdr:colOff>
      <xdr:row>1163</xdr:row>
      <xdr:rowOff>177799</xdr:rowOff>
    </xdr:from>
    <xdr:to>
      <xdr:col>12</xdr:col>
      <xdr:colOff>355599</xdr:colOff>
      <xdr:row>1166</xdr:row>
      <xdr:rowOff>15089</xdr:rowOff>
    </xdr:to>
    <xdr:grpSp>
      <xdr:nvGrpSpPr>
        <xdr:cNvPr id="1709" name="Group 1708">
          <a:extLst>
            <a:ext uri="{FF2B5EF4-FFF2-40B4-BE49-F238E27FC236}">
              <a16:creationId xmlns:a16="http://schemas.microsoft.com/office/drawing/2014/main" id="{00000000-0008-0000-0200-0000AD060000}"/>
            </a:ext>
          </a:extLst>
        </xdr:cNvPr>
        <xdr:cNvGrpSpPr>
          <a:grpSpLocks noChangeAspect="1"/>
        </xdr:cNvGrpSpPr>
      </xdr:nvGrpSpPr>
      <xdr:grpSpPr>
        <a:xfrm flipH="1">
          <a:off x="3241886" y="232351579"/>
          <a:ext cx="2760133" cy="591670"/>
          <a:chOff x="6434667" y="11364816"/>
          <a:chExt cx="2726265" cy="511801"/>
        </a:xfrm>
        <a:effectLst>
          <a:outerShdw blurRad="63500" sx="102000" sy="102000" algn="ctr" rotWithShape="0">
            <a:prstClr val="black">
              <a:alpha val="40000"/>
            </a:prstClr>
          </a:outerShdw>
        </a:effectLst>
      </xdr:grpSpPr>
      <xdr:sp macro="" textlink="">
        <xdr:nvSpPr>
          <xdr:cNvPr id="1710" name="Right Brace 1709">
            <a:extLst>
              <a:ext uri="{FF2B5EF4-FFF2-40B4-BE49-F238E27FC236}">
                <a16:creationId xmlns:a16="http://schemas.microsoft.com/office/drawing/2014/main" id="{00000000-0008-0000-0200-0000AE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11" name="Right Bracket 1710">
            <a:extLst>
              <a:ext uri="{FF2B5EF4-FFF2-40B4-BE49-F238E27FC236}">
                <a16:creationId xmlns:a16="http://schemas.microsoft.com/office/drawing/2014/main" id="{00000000-0008-0000-0200-0000AF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12" name="Right Bracket 1711">
            <a:extLst>
              <a:ext uri="{FF2B5EF4-FFF2-40B4-BE49-F238E27FC236}">
                <a16:creationId xmlns:a16="http://schemas.microsoft.com/office/drawing/2014/main" id="{00000000-0008-0000-0200-0000B0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13" name="Flowchart: Delay 1712">
            <a:extLst>
              <a:ext uri="{FF2B5EF4-FFF2-40B4-BE49-F238E27FC236}">
                <a16:creationId xmlns:a16="http://schemas.microsoft.com/office/drawing/2014/main" id="{00000000-0008-0000-0200-0000B1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0</xdr:col>
      <xdr:colOff>110066</xdr:colOff>
      <xdr:row>1136</xdr:row>
      <xdr:rowOff>12702</xdr:rowOff>
    </xdr:from>
    <xdr:to>
      <xdr:col>13</xdr:col>
      <xdr:colOff>12699</xdr:colOff>
      <xdr:row>1137</xdr:row>
      <xdr:rowOff>8467</xdr:rowOff>
    </xdr:to>
    <xdr:grpSp>
      <xdr:nvGrpSpPr>
        <xdr:cNvPr id="1716" name="Group 1715">
          <a:extLst>
            <a:ext uri="{FF2B5EF4-FFF2-40B4-BE49-F238E27FC236}">
              <a16:creationId xmlns:a16="http://schemas.microsoft.com/office/drawing/2014/main" id="{00000000-0008-0000-0200-0000B4060000}"/>
            </a:ext>
          </a:extLst>
        </xdr:cNvPr>
        <xdr:cNvGrpSpPr/>
      </xdr:nvGrpSpPr>
      <xdr:grpSpPr>
        <a:xfrm>
          <a:off x="110066" y="226326702"/>
          <a:ext cx="6051973" cy="437725"/>
          <a:chOff x="6341533" y="22263102"/>
          <a:chExt cx="6015566" cy="309032"/>
        </a:xfrm>
      </xdr:grpSpPr>
      <xdr:grpSp>
        <xdr:nvGrpSpPr>
          <xdr:cNvPr id="1717" name="Group 1716">
            <a:extLst>
              <a:ext uri="{FF2B5EF4-FFF2-40B4-BE49-F238E27FC236}">
                <a16:creationId xmlns:a16="http://schemas.microsoft.com/office/drawing/2014/main" id="{00000000-0008-0000-0200-0000B5060000}"/>
              </a:ext>
            </a:extLst>
          </xdr:cNvPr>
          <xdr:cNvGrpSpPr/>
        </xdr:nvGrpSpPr>
        <xdr:grpSpPr>
          <a:xfrm>
            <a:off x="6356532" y="22265897"/>
            <a:ext cx="5974927" cy="295065"/>
            <a:chOff x="6309361" y="22083931"/>
            <a:chExt cx="5928360" cy="163286"/>
          </a:xfrm>
        </xdr:grpSpPr>
        <xdr:sp macro="" textlink="">
          <xdr:nvSpPr>
            <xdr:cNvPr id="1730" name="Arrow: Left 1729">
              <a:extLst>
                <a:ext uri="{FF2B5EF4-FFF2-40B4-BE49-F238E27FC236}">
                  <a16:creationId xmlns:a16="http://schemas.microsoft.com/office/drawing/2014/main" id="{00000000-0008-0000-0200-0000C2060000}"/>
                </a:ext>
              </a:extLst>
            </xdr:cNvPr>
            <xdr:cNvSpPr/>
          </xdr:nvSpPr>
          <xdr:spPr>
            <a:xfrm>
              <a:off x="6309361" y="22084937"/>
              <a:ext cx="1965960" cy="161926"/>
            </a:xfrm>
            <a:prstGeom prst="leftArrow">
              <a:avLst>
                <a:gd name="adj1" fmla="val 100000"/>
                <a:gd name="adj2" fmla="val 37748"/>
              </a:avLst>
            </a:prstGeom>
            <a:noFill/>
            <a:ln>
              <a:solidFill>
                <a:schemeClr val="accent5">
                  <a:lumMod val="40000"/>
                  <a:lumOff val="60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endParaRPr lang="en-US" sz="1100">
                <a:solidFill>
                  <a:srgbClr val="002060"/>
                </a:solidFill>
                <a:effectLst>
                  <a:outerShdw blurRad="63500" sx="102000" sy="102000" algn="ctr" rotWithShape="0">
                    <a:prstClr val="black">
                      <a:alpha val="40000"/>
                    </a:prstClr>
                  </a:outerShdw>
                </a:effectLst>
                <a:latin typeface="Arial Black" panose="020B0A04020102020204" pitchFamily="34" charset="0"/>
              </a:endParaRPr>
            </a:p>
          </xdr:txBody>
        </xdr:sp>
        <xdr:sp macro="" textlink="">
          <xdr:nvSpPr>
            <xdr:cNvPr id="1731" name="Arrow: Left 1730">
              <a:extLst>
                <a:ext uri="{FF2B5EF4-FFF2-40B4-BE49-F238E27FC236}">
                  <a16:creationId xmlns:a16="http://schemas.microsoft.com/office/drawing/2014/main" id="{00000000-0008-0000-0200-0000C3060000}"/>
                </a:ext>
              </a:extLst>
            </xdr:cNvPr>
            <xdr:cNvSpPr/>
          </xdr:nvSpPr>
          <xdr:spPr>
            <a:xfrm flipH="1">
              <a:off x="10271761" y="22084964"/>
              <a:ext cx="1965960" cy="161926"/>
            </a:xfrm>
            <a:prstGeom prst="leftArrow">
              <a:avLst>
                <a:gd name="adj1" fmla="val 100000"/>
                <a:gd name="adj2" fmla="val 28555"/>
              </a:avLst>
            </a:prstGeom>
            <a:noFill/>
            <a:ln>
              <a:solidFill>
                <a:schemeClr val="accent2">
                  <a:lumMod val="40000"/>
                  <a:lumOff val="60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endParaRPr lang="en-US" sz="1100">
                <a:solidFill>
                  <a:srgbClr val="002060"/>
                </a:solidFill>
                <a:effectLst>
                  <a:outerShdw blurRad="63500" sx="102000" sy="102000" algn="ctr" rotWithShape="0">
                    <a:prstClr val="black">
                      <a:alpha val="40000"/>
                    </a:prstClr>
                  </a:outerShdw>
                </a:effectLst>
                <a:latin typeface="Arial Black" panose="020B0A04020102020204" pitchFamily="34" charset="0"/>
              </a:endParaRPr>
            </a:p>
          </xdr:txBody>
        </xdr:sp>
        <xdr:sp macro="" textlink="">
          <xdr:nvSpPr>
            <xdr:cNvPr id="1732" name="Arrow: Left-Right 1731">
              <a:extLst>
                <a:ext uri="{FF2B5EF4-FFF2-40B4-BE49-F238E27FC236}">
                  <a16:creationId xmlns:a16="http://schemas.microsoft.com/office/drawing/2014/main" id="{00000000-0008-0000-0200-0000C4060000}"/>
                </a:ext>
              </a:extLst>
            </xdr:cNvPr>
            <xdr:cNvSpPr/>
          </xdr:nvSpPr>
          <xdr:spPr>
            <a:xfrm>
              <a:off x="8289469" y="22083931"/>
              <a:ext cx="1965960" cy="163286"/>
            </a:xfrm>
            <a:prstGeom prst="leftRightArrow">
              <a:avLst>
                <a:gd name="adj1" fmla="val 100000"/>
                <a:gd name="adj2" fmla="val 33893"/>
              </a:avLst>
            </a:prstGeom>
            <a:noFill/>
            <a:ln>
              <a:solidFill>
                <a:srgbClr val="C896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18" name="Group 1717">
            <a:extLst>
              <a:ext uri="{FF2B5EF4-FFF2-40B4-BE49-F238E27FC236}">
                <a16:creationId xmlns:a16="http://schemas.microsoft.com/office/drawing/2014/main" id="{00000000-0008-0000-0200-0000B6060000}"/>
              </a:ext>
            </a:extLst>
          </xdr:cNvPr>
          <xdr:cNvGrpSpPr/>
        </xdr:nvGrpSpPr>
        <xdr:grpSpPr>
          <a:xfrm>
            <a:off x="6341533" y="22271569"/>
            <a:ext cx="173565" cy="300565"/>
            <a:chOff x="6341533" y="22271569"/>
            <a:chExt cx="173565" cy="300565"/>
          </a:xfrm>
        </xdr:grpSpPr>
        <xdr:sp macro="" textlink="">
          <xdr:nvSpPr>
            <xdr:cNvPr id="1728" name="Right Triangle 1727">
              <a:extLst>
                <a:ext uri="{FF2B5EF4-FFF2-40B4-BE49-F238E27FC236}">
                  <a16:creationId xmlns:a16="http://schemas.microsoft.com/office/drawing/2014/main" id="{00000000-0008-0000-0200-0000C0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9" name="Right Triangle 1728">
              <a:extLst>
                <a:ext uri="{FF2B5EF4-FFF2-40B4-BE49-F238E27FC236}">
                  <a16:creationId xmlns:a16="http://schemas.microsoft.com/office/drawing/2014/main" id="{00000000-0008-0000-0200-0000C1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19" name="Group 1718">
            <a:extLst>
              <a:ext uri="{FF2B5EF4-FFF2-40B4-BE49-F238E27FC236}">
                <a16:creationId xmlns:a16="http://schemas.microsoft.com/office/drawing/2014/main" id="{00000000-0008-0000-0200-0000B7060000}"/>
              </a:ext>
            </a:extLst>
          </xdr:cNvPr>
          <xdr:cNvGrpSpPr/>
        </xdr:nvGrpSpPr>
        <xdr:grpSpPr>
          <a:xfrm>
            <a:off x="8339667" y="22263102"/>
            <a:ext cx="173565" cy="300565"/>
            <a:chOff x="6341533" y="22271569"/>
            <a:chExt cx="173565" cy="300565"/>
          </a:xfrm>
        </xdr:grpSpPr>
        <xdr:sp macro="" textlink="">
          <xdr:nvSpPr>
            <xdr:cNvPr id="1726" name="Right Triangle 1725">
              <a:extLst>
                <a:ext uri="{FF2B5EF4-FFF2-40B4-BE49-F238E27FC236}">
                  <a16:creationId xmlns:a16="http://schemas.microsoft.com/office/drawing/2014/main" id="{00000000-0008-0000-0200-0000BE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7" name="Right Triangle 1726">
              <a:extLst>
                <a:ext uri="{FF2B5EF4-FFF2-40B4-BE49-F238E27FC236}">
                  <a16:creationId xmlns:a16="http://schemas.microsoft.com/office/drawing/2014/main" id="{00000000-0008-0000-0200-0000BF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20" name="Group 1719">
            <a:extLst>
              <a:ext uri="{FF2B5EF4-FFF2-40B4-BE49-F238E27FC236}">
                <a16:creationId xmlns:a16="http://schemas.microsoft.com/office/drawing/2014/main" id="{00000000-0008-0000-0200-0000B8060000}"/>
              </a:ext>
            </a:extLst>
          </xdr:cNvPr>
          <xdr:cNvGrpSpPr/>
        </xdr:nvGrpSpPr>
        <xdr:grpSpPr>
          <a:xfrm flipH="1">
            <a:off x="10176934" y="22263102"/>
            <a:ext cx="173565" cy="300565"/>
            <a:chOff x="6341533" y="22271569"/>
            <a:chExt cx="173565" cy="300565"/>
          </a:xfrm>
        </xdr:grpSpPr>
        <xdr:sp macro="" textlink="">
          <xdr:nvSpPr>
            <xdr:cNvPr id="1724" name="Right Triangle 1723">
              <a:extLst>
                <a:ext uri="{FF2B5EF4-FFF2-40B4-BE49-F238E27FC236}">
                  <a16:creationId xmlns:a16="http://schemas.microsoft.com/office/drawing/2014/main" id="{00000000-0008-0000-0200-0000BC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5" name="Right Triangle 1724">
              <a:extLst>
                <a:ext uri="{FF2B5EF4-FFF2-40B4-BE49-F238E27FC236}">
                  <a16:creationId xmlns:a16="http://schemas.microsoft.com/office/drawing/2014/main" id="{00000000-0008-0000-0200-0000BD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21" name="Group 1720">
            <a:extLst>
              <a:ext uri="{FF2B5EF4-FFF2-40B4-BE49-F238E27FC236}">
                <a16:creationId xmlns:a16="http://schemas.microsoft.com/office/drawing/2014/main" id="{00000000-0008-0000-0200-0000B9060000}"/>
              </a:ext>
            </a:extLst>
          </xdr:cNvPr>
          <xdr:cNvGrpSpPr/>
        </xdr:nvGrpSpPr>
        <xdr:grpSpPr>
          <a:xfrm flipH="1">
            <a:off x="12183534" y="22263102"/>
            <a:ext cx="173565" cy="300565"/>
            <a:chOff x="6341533" y="22271569"/>
            <a:chExt cx="173565" cy="300565"/>
          </a:xfrm>
        </xdr:grpSpPr>
        <xdr:sp macro="" textlink="">
          <xdr:nvSpPr>
            <xdr:cNvPr id="1722" name="Right Triangle 1721">
              <a:extLst>
                <a:ext uri="{FF2B5EF4-FFF2-40B4-BE49-F238E27FC236}">
                  <a16:creationId xmlns:a16="http://schemas.microsoft.com/office/drawing/2014/main" id="{00000000-0008-0000-0200-0000BA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3" name="Right Triangle 1722">
              <a:extLst>
                <a:ext uri="{FF2B5EF4-FFF2-40B4-BE49-F238E27FC236}">
                  <a16:creationId xmlns:a16="http://schemas.microsoft.com/office/drawing/2014/main" id="{00000000-0008-0000-0200-0000BB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oneCellAnchor>
    <xdr:from>
      <xdr:col>13</xdr:col>
      <xdr:colOff>18626</xdr:colOff>
      <xdr:row>1484</xdr:row>
      <xdr:rowOff>131336</xdr:rowOff>
    </xdr:from>
    <xdr:ext cx="6450078" cy="3417161"/>
    <xdr:pic>
      <xdr:nvPicPr>
        <xdr:cNvPr id="1735" name="value frame PNP" hidden="1">
          <a:extLst>
            <a:ext uri="{FF2B5EF4-FFF2-40B4-BE49-F238E27FC236}">
              <a16:creationId xmlns:a16="http://schemas.microsoft.com/office/drawing/2014/main" id="{00000000-0008-0000-0200-0000C706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175586" y="125358416"/>
          <a:ext cx="6450078" cy="3417161"/>
        </a:xfrm>
        <a:prstGeom prst="rect">
          <a:avLst/>
        </a:prstGeom>
      </xdr:spPr>
    </xdr:pic>
    <xdr:clientData/>
  </xdr:oneCellAnchor>
  <xdr:twoCellAnchor>
    <xdr:from>
      <xdr:col>12</xdr:col>
      <xdr:colOff>0</xdr:colOff>
      <xdr:row>1046</xdr:row>
      <xdr:rowOff>175259</xdr:rowOff>
    </xdr:from>
    <xdr:to>
      <xdr:col>12</xdr:col>
      <xdr:colOff>186267</xdr:colOff>
      <xdr:row>1046</xdr:row>
      <xdr:rowOff>178646</xdr:rowOff>
    </xdr:to>
    <xdr:grpSp>
      <xdr:nvGrpSpPr>
        <xdr:cNvPr id="1741" name="dropdown button image" hidden="1">
          <a:extLst>
            <a:ext uri="{FF2B5EF4-FFF2-40B4-BE49-F238E27FC236}">
              <a16:creationId xmlns:a16="http://schemas.microsoft.com/office/drawing/2014/main" id="{00000000-0008-0000-0200-0000CD060000}"/>
            </a:ext>
          </a:extLst>
        </xdr:cNvPr>
        <xdr:cNvGrpSpPr/>
      </xdr:nvGrpSpPr>
      <xdr:grpSpPr>
        <a:xfrm>
          <a:off x="5646420" y="204459839"/>
          <a:ext cx="186267" cy="3387"/>
          <a:chOff x="11430000" y="1828800"/>
          <a:chExt cx="508000" cy="508000"/>
        </a:xfrm>
      </xdr:grpSpPr>
      <xdr:sp macro="" textlink="">
        <xdr:nvSpPr>
          <xdr:cNvPr id="1742" name="Rectangle 1741">
            <a:extLst>
              <a:ext uri="{FF2B5EF4-FFF2-40B4-BE49-F238E27FC236}">
                <a16:creationId xmlns:a16="http://schemas.microsoft.com/office/drawing/2014/main" id="{00000000-0008-0000-0200-0000CE060000}"/>
              </a:ext>
            </a:extLst>
          </xdr:cNvPr>
          <xdr:cNvSpPr/>
        </xdr:nvSpPr>
        <xdr:spPr>
          <a:xfrm>
            <a:off x="11430000" y="1828800"/>
            <a:ext cx="508000" cy="508000"/>
          </a:xfrm>
          <a:prstGeom prst="rect">
            <a:avLst/>
          </a:prstGeom>
          <a:solidFill>
            <a:schemeClr val="bg1">
              <a:lumMod val="95000"/>
            </a:schemeClr>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43" name="Isosceles Triangle 1742">
            <a:extLst>
              <a:ext uri="{FF2B5EF4-FFF2-40B4-BE49-F238E27FC236}">
                <a16:creationId xmlns:a16="http://schemas.microsoft.com/office/drawing/2014/main" id="{00000000-0008-0000-0200-0000CF060000}"/>
              </a:ext>
            </a:extLst>
          </xdr:cNvPr>
          <xdr:cNvSpPr>
            <a:spLocks noChangeAspect="1"/>
          </xdr:cNvSpPr>
        </xdr:nvSpPr>
        <xdr:spPr>
          <a:xfrm flipV="1">
            <a:off x="11590866" y="2031999"/>
            <a:ext cx="182880" cy="137160"/>
          </a:xfrm>
          <a:prstGeom prst="triangle">
            <a:avLst/>
          </a:prstGeom>
          <a:solidFill>
            <a:schemeClr val="bg1">
              <a:lumMod val="65000"/>
            </a:schemeClr>
          </a:solidFill>
          <a:ln>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11</xdr:col>
      <xdr:colOff>433091</xdr:colOff>
      <xdr:row>1046</xdr:row>
      <xdr:rowOff>525460</xdr:rowOff>
    </xdr:from>
    <xdr:to>
      <xdr:col>12</xdr:col>
      <xdr:colOff>24997</xdr:colOff>
      <xdr:row>1048</xdr:row>
      <xdr:rowOff>16263</xdr:rowOff>
    </xdr:to>
    <xdr:sp macro="" textlink="">
      <xdr:nvSpPr>
        <xdr:cNvPr id="1744" name="Arrow: Left 1743" hidden="1">
          <a:extLst>
            <a:ext uri="{FF2B5EF4-FFF2-40B4-BE49-F238E27FC236}">
              <a16:creationId xmlns:a16="http://schemas.microsoft.com/office/drawing/2014/main" id="{00000000-0008-0000-0200-0000D0060000}"/>
            </a:ext>
          </a:extLst>
        </xdr:cNvPr>
        <xdr:cNvSpPr>
          <a:spLocks noChangeAspect="1"/>
        </xdr:cNvSpPr>
      </xdr:nvSpPr>
      <xdr:spPr>
        <a:xfrm rot="4020000">
          <a:off x="11784102" y="10068489"/>
          <a:ext cx="252803" cy="94826"/>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0</xdr:col>
      <xdr:colOff>110067</xdr:colOff>
      <xdr:row>1078</xdr:row>
      <xdr:rowOff>8467</xdr:rowOff>
    </xdr:from>
    <xdr:ext cx="6055204" cy="1548516"/>
    <xdr:pic>
      <xdr:nvPicPr>
        <xdr:cNvPr id="1745" name="Picture 1744" hidden="1">
          <a:extLst>
            <a:ext uri="{FF2B5EF4-FFF2-40B4-BE49-F238E27FC236}">
              <a16:creationId xmlns:a16="http://schemas.microsoft.com/office/drawing/2014/main" id="{00000000-0008-0000-0200-0000D1060000}"/>
            </a:ext>
          </a:extLst>
        </xdr:cNvPr>
        <xdr:cNvPicPr>
          <a:picLocks noChangeAspect="1"/>
        </xdr:cNvPicPr>
      </xdr:nvPicPr>
      <xdr:blipFill>
        <a:blip xmlns:r="http://schemas.openxmlformats.org/officeDocument/2006/relationships" r:embed="rId2">
          <a:clrChange>
            <a:clrFrom>
              <a:srgbClr val="000000"/>
            </a:clrFrom>
            <a:clrTo>
              <a:srgbClr val="000000">
                <a:alpha val="0"/>
              </a:srgbClr>
            </a:clrTo>
          </a:clrChange>
        </a:blip>
        <a:stretch>
          <a:fillRect/>
        </a:stretch>
      </xdr:blipFill>
      <xdr:spPr>
        <a:xfrm>
          <a:off x="6388947" y="18418387"/>
          <a:ext cx="6055204" cy="1548516"/>
        </a:xfrm>
        <a:prstGeom prst="rect">
          <a:avLst/>
        </a:prstGeom>
      </xdr:spPr>
    </xdr:pic>
    <xdr:clientData/>
  </xdr:oneCellAnchor>
  <xdr:twoCellAnchor>
    <xdr:from>
      <xdr:col>0</xdr:col>
      <xdr:colOff>95673</xdr:colOff>
      <xdr:row>1077</xdr:row>
      <xdr:rowOff>228056</xdr:rowOff>
    </xdr:from>
    <xdr:to>
      <xdr:col>13</xdr:col>
      <xdr:colOff>23212</xdr:colOff>
      <xdr:row>1083</xdr:row>
      <xdr:rowOff>227507</xdr:rowOff>
    </xdr:to>
    <xdr:grpSp>
      <xdr:nvGrpSpPr>
        <xdr:cNvPr id="1746" name="Group 1745">
          <a:extLst>
            <a:ext uri="{FF2B5EF4-FFF2-40B4-BE49-F238E27FC236}">
              <a16:creationId xmlns:a16="http://schemas.microsoft.com/office/drawing/2014/main" id="{00000000-0008-0000-0200-0000D2060000}"/>
            </a:ext>
          </a:extLst>
        </xdr:cNvPr>
        <xdr:cNvGrpSpPr/>
      </xdr:nvGrpSpPr>
      <xdr:grpSpPr>
        <a:xfrm>
          <a:off x="95673" y="212887016"/>
          <a:ext cx="6076879" cy="1508211"/>
          <a:chOff x="6284806" y="9370364"/>
          <a:chExt cx="5993906" cy="1475191"/>
        </a:xfrm>
      </xdr:grpSpPr>
      <xdr:grpSp>
        <xdr:nvGrpSpPr>
          <xdr:cNvPr id="1747" name="Group LISTEN">
            <a:extLst>
              <a:ext uri="{FF2B5EF4-FFF2-40B4-BE49-F238E27FC236}">
                <a16:creationId xmlns:a16="http://schemas.microsoft.com/office/drawing/2014/main" id="{00000000-0008-0000-0200-0000D3060000}"/>
              </a:ext>
            </a:extLst>
          </xdr:cNvPr>
          <xdr:cNvGrpSpPr/>
        </xdr:nvGrpSpPr>
        <xdr:grpSpPr>
          <a:xfrm>
            <a:off x="6311900" y="9384453"/>
            <a:ext cx="5939369" cy="1241214"/>
            <a:chOff x="7787640" y="586740"/>
            <a:chExt cx="2981121" cy="922020"/>
          </a:xfrm>
        </xdr:grpSpPr>
        <xdr:sp macro="" textlink="">
          <xdr:nvSpPr>
            <xdr:cNvPr id="1760" name="Speech Bubble: Rectangle with Corners Rounded 1759">
              <a:extLst>
                <a:ext uri="{FF2B5EF4-FFF2-40B4-BE49-F238E27FC236}">
                  <a16:creationId xmlns:a16="http://schemas.microsoft.com/office/drawing/2014/main" id="{00000000-0008-0000-0200-0000E0060000}"/>
                </a:ext>
              </a:extLst>
            </xdr:cNvPr>
            <xdr:cNvSpPr/>
          </xdr:nvSpPr>
          <xdr:spPr>
            <a:xfrm>
              <a:off x="7787640" y="586740"/>
              <a:ext cx="1485900" cy="922020"/>
            </a:xfrm>
            <a:prstGeom prst="wedgeRoundRectCallout">
              <a:avLst>
                <a:gd name="adj1" fmla="val -48889"/>
                <a:gd name="adj2" fmla="val 68285"/>
                <a:gd name="adj3" fmla="val 16667"/>
              </a:avLst>
            </a:prstGeom>
            <a:noFill/>
            <a:ln w="1905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1" name="Speech Bubble: Rectangle with Corners Rounded 1760">
              <a:extLst>
                <a:ext uri="{FF2B5EF4-FFF2-40B4-BE49-F238E27FC236}">
                  <a16:creationId xmlns:a16="http://schemas.microsoft.com/office/drawing/2014/main" id="{00000000-0008-0000-0200-0000E1060000}"/>
                </a:ext>
              </a:extLst>
            </xdr:cNvPr>
            <xdr:cNvSpPr/>
          </xdr:nvSpPr>
          <xdr:spPr>
            <a:xfrm flipH="1">
              <a:off x="9282861" y="586740"/>
              <a:ext cx="1485900" cy="922020"/>
            </a:xfrm>
            <a:prstGeom prst="wedgeRoundRectCallout">
              <a:avLst>
                <a:gd name="adj1" fmla="val -48632"/>
                <a:gd name="adj2" fmla="val 68285"/>
                <a:gd name="adj3" fmla="val 16667"/>
              </a:avLst>
            </a:prstGeom>
            <a:noFill/>
            <a:ln w="1905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48" name="Group 1747">
            <a:extLst>
              <a:ext uri="{FF2B5EF4-FFF2-40B4-BE49-F238E27FC236}">
                <a16:creationId xmlns:a16="http://schemas.microsoft.com/office/drawing/2014/main" id="{00000000-0008-0000-0200-0000D4060000}"/>
              </a:ext>
            </a:extLst>
          </xdr:cNvPr>
          <xdr:cNvGrpSpPr/>
        </xdr:nvGrpSpPr>
        <xdr:grpSpPr>
          <a:xfrm>
            <a:off x="6284806" y="9370364"/>
            <a:ext cx="3020866" cy="1307496"/>
            <a:chOff x="6263391" y="9476944"/>
            <a:chExt cx="3010098" cy="1315035"/>
          </a:xfrm>
        </xdr:grpSpPr>
        <xdr:sp macro="" textlink="">
          <xdr:nvSpPr>
            <xdr:cNvPr id="1756" name="Right Triangle 8">
              <a:extLst>
                <a:ext uri="{FF2B5EF4-FFF2-40B4-BE49-F238E27FC236}">
                  <a16:creationId xmlns:a16="http://schemas.microsoft.com/office/drawing/2014/main" id="{00000000-0008-0000-0200-0000DC060000}"/>
                </a:ext>
              </a:extLst>
            </xdr:cNvPr>
            <xdr:cNvSpPr>
              <a:spLocks noChangeAspect="1"/>
            </xdr:cNvSpPr>
          </xdr:nvSpPr>
          <xdr:spPr>
            <a:xfrm rot="21000000">
              <a:off x="6277782" y="10609099"/>
              <a:ext cx="180819"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7" name="Right Triangle 8">
              <a:extLst>
                <a:ext uri="{FF2B5EF4-FFF2-40B4-BE49-F238E27FC236}">
                  <a16:creationId xmlns:a16="http://schemas.microsoft.com/office/drawing/2014/main" id="{00000000-0008-0000-0200-0000DD060000}"/>
                </a:ext>
              </a:extLst>
            </xdr:cNvPr>
            <xdr:cNvSpPr>
              <a:spLocks noChangeAspect="1"/>
            </xdr:cNvSpPr>
          </xdr:nvSpPr>
          <xdr:spPr>
            <a:xfrm rot="5400000">
              <a:off x="6268372" y="9474199"/>
              <a:ext cx="179892" cy="189853"/>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8" name="Right Triangle 8">
              <a:extLst>
                <a:ext uri="{FF2B5EF4-FFF2-40B4-BE49-F238E27FC236}">
                  <a16:creationId xmlns:a16="http://schemas.microsoft.com/office/drawing/2014/main" id="{00000000-0008-0000-0200-0000DE060000}"/>
                </a:ext>
              </a:extLst>
            </xdr:cNvPr>
            <xdr:cNvSpPr>
              <a:spLocks noChangeAspect="1"/>
            </xdr:cNvSpPr>
          </xdr:nvSpPr>
          <xdr:spPr>
            <a:xfrm flipH="1">
              <a:off x="9092669" y="10584221"/>
              <a:ext cx="180820"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9" name="Right Triangle 8">
              <a:extLst>
                <a:ext uri="{FF2B5EF4-FFF2-40B4-BE49-F238E27FC236}">
                  <a16:creationId xmlns:a16="http://schemas.microsoft.com/office/drawing/2014/main" id="{00000000-0008-0000-0200-0000DF060000}"/>
                </a:ext>
              </a:extLst>
            </xdr:cNvPr>
            <xdr:cNvSpPr>
              <a:spLocks noChangeAspect="1"/>
            </xdr:cNvSpPr>
          </xdr:nvSpPr>
          <xdr:spPr>
            <a:xfrm rot="16200000" flipH="1">
              <a:off x="9072937" y="9477986"/>
              <a:ext cx="184964"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49" name="Group 1748">
            <a:extLst>
              <a:ext uri="{FF2B5EF4-FFF2-40B4-BE49-F238E27FC236}">
                <a16:creationId xmlns:a16="http://schemas.microsoft.com/office/drawing/2014/main" id="{00000000-0008-0000-0200-0000D5060000}"/>
              </a:ext>
            </a:extLst>
          </xdr:cNvPr>
          <xdr:cNvGrpSpPr/>
        </xdr:nvGrpSpPr>
        <xdr:grpSpPr>
          <a:xfrm>
            <a:off x="9269555" y="9370365"/>
            <a:ext cx="3009157" cy="1295696"/>
            <a:chOff x="6263391" y="9476944"/>
            <a:chExt cx="2993468" cy="1303167"/>
          </a:xfrm>
        </xdr:grpSpPr>
        <xdr:sp macro="" textlink="">
          <xdr:nvSpPr>
            <xdr:cNvPr id="1752" name="Right Triangle 8">
              <a:extLst>
                <a:ext uri="{FF2B5EF4-FFF2-40B4-BE49-F238E27FC236}">
                  <a16:creationId xmlns:a16="http://schemas.microsoft.com/office/drawing/2014/main" id="{00000000-0008-0000-0200-0000D8060000}"/>
                </a:ext>
              </a:extLst>
            </xdr:cNvPr>
            <xdr:cNvSpPr>
              <a:spLocks noChangeAspect="1"/>
            </xdr:cNvSpPr>
          </xdr:nvSpPr>
          <xdr:spPr>
            <a:xfrm rot="21000000">
              <a:off x="6285362" y="10597232"/>
              <a:ext cx="180819" cy="182879"/>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3" name="Right Triangle 8">
              <a:extLst>
                <a:ext uri="{FF2B5EF4-FFF2-40B4-BE49-F238E27FC236}">
                  <a16:creationId xmlns:a16="http://schemas.microsoft.com/office/drawing/2014/main" id="{00000000-0008-0000-0200-0000D9060000}"/>
                </a:ext>
              </a:extLst>
            </xdr:cNvPr>
            <xdr:cNvSpPr>
              <a:spLocks noChangeAspect="1"/>
            </xdr:cNvSpPr>
          </xdr:nvSpPr>
          <xdr:spPr>
            <a:xfrm rot="5400000">
              <a:off x="6268372" y="9474199"/>
              <a:ext cx="179892" cy="189853"/>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4" name="Right Triangle 8">
              <a:extLst>
                <a:ext uri="{FF2B5EF4-FFF2-40B4-BE49-F238E27FC236}">
                  <a16:creationId xmlns:a16="http://schemas.microsoft.com/office/drawing/2014/main" id="{00000000-0008-0000-0200-0000DA060000}"/>
                </a:ext>
              </a:extLst>
            </xdr:cNvPr>
            <xdr:cNvSpPr>
              <a:spLocks noChangeAspect="1"/>
            </xdr:cNvSpPr>
          </xdr:nvSpPr>
          <xdr:spPr>
            <a:xfrm flipH="1">
              <a:off x="9069045" y="10576610"/>
              <a:ext cx="180820"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5" name="Right Triangle 8">
              <a:extLst>
                <a:ext uri="{FF2B5EF4-FFF2-40B4-BE49-F238E27FC236}">
                  <a16:creationId xmlns:a16="http://schemas.microsoft.com/office/drawing/2014/main" id="{00000000-0008-0000-0200-0000DB060000}"/>
                </a:ext>
              </a:extLst>
            </xdr:cNvPr>
            <xdr:cNvSpPr>
              <a:spLocks noChangeAspect="1"/>
            </xdr:cNvSpPr>
          </xdr:nvSpPr>
          <xdr:spPr>
            <a:xfrm rot="16200000" flipH="1">
              <a:off x="9072937" y="9477986"/>
              <a:ext cx="184964"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1750" name="Freeform: Shape 1749">
            <a:extLst>
              <a:ext uri="{FF2B5EF4-FFF2-40B4-BE49-F238E27FC236}">
                <a16:creationId xmlns:a16="http://schemas.microsoft.com/office/drawing/2014/main" id="{00000000-0008-0000-0200-0000D6060000}"/>
              </a:ext>
            </a:extLst>
          </xdr:cNvPr>
          <xdr:cNvSpPr/>
        </xdr:nvSpPr>
        <xdr:spPr>
          <a:xfrm>
            <a:off x="6387751" y="10609480"/>
            <a:ext cx="1198284" cy="231838"/>
          </a:xfrm>
          <a:custGeom>
            <a:avLst/>
            <a:gdLst>
              <a:gd name="connsiteX0" fmla="*/ 493059 w 1219200"/>
              <a:gd name="connsiteY0" fmla="*/ 0 h 233082"/>
              <a:gd name="connsiteX1" fmla="*/ 0 w 1219200"/>
              <a:gd name="connsiteY1" fmla="*/ 233082 h 233082"/>
              <a:gd name="connsiteX2" fmla="*/ 1219200 w 1219200"/>
              <a:gd name="connsiteY2" fmla="*/ 8965 h 233082"/>
              <a:gd name="connsiteX3" fmla="*/ 493059 w 1219200"/>
              <a:gd name="connsiteY3" fmla="*/ 0 h 233082"/>
              <a:gd name="connsiteX0" fmla="*/ 493059 w 1231853"/>
              <a:gd name="connsiteY0" fmla="*/ 3803 h 236885"/>
              <a:gd name="connsiteX1" fmla="*/ 0 w 1231853"/>
              <a:gd name="connsiteY1" fmla="*/ 236885 h 236885"/>
              <a:gd name="connsiteX2" fmla="*/ 1231853 w 1231853"/>
              <a:gd name="connsiteY2" fmla="*/ 0 h 236885"/>
              <a:gd name="connsiteX3" fmla="*/ 493059 w 1231853"/>
              <a:gd name="connsiteY3" fmla="*/ 3803 h 236885"/>
              <a:gd name="connsiteX0" fmla="*/ 471971 w 1210765"/>
              <a:gd name="connsiteY0" fmla="*/ 3803 h 236885"/>
              <a:gd name="connsiteX1" fmla="*/ 0 w 1210765"/>
              <a:gd name="connsiteY1" fmla="*/ 236885 h 236885"/>
              <a:gd name="connsiteX2" fmla="*/ 1210765 w 1210765"/>
              <a:gd name="connsiteY2" fmla="*/ 0 h 236885"/>
              <a:gd name="connsiteX3" fmla="*/ 471971 w 1210765"/>
              <a:gd name="connsiteY3" fmla="*/ 3803 h 236885"/>
              <a:gd name="connsiteX0" fmla="*/ 467754 w 1206548"/>
              <a:gd name="connsiteY0" fmla="*/ 3803 h 241142"/>
              <a:gd name="connsiteX1" fmla="*/ 0 w 1206548"/>
              <a:gd name="connsiteY1" fmla="*/ 241142 h 241142"/>
              <a:gd name="connsiteX2" fmla="*/ 1206548 w 1206548"/>
              <a:gd name="connsiteY2" fmla="*/ 0 h 241142"/>
              <a:gd name="connsiteX3" fmla="*/ 467754 w 1206548"/>
              <a:gd name="connsiteY3" fmla="*/ 3803 h 241142"/>
              <a:gd name="connsiteX0" fmla="*/ 493061 w 1206548"/>
              <a:gd name="connsiteY0" fmla="*/ 0 h 245851"/>
              <a:gd name="connsiteX1" fmla="*/ 0 w 1206548"/>
              <a:gd name="connsiteY1" fmla="*/ 245851 h 245851"/>
              <a:gd name="connsiteX2" fmla="*/ 1206548 w 1206548"/>
              <a:gd name="connsiteY2" fmla="*/ 4709 h 245851"/>
              <a:gd name="connsiteX3" fmla="*/ 493061 w 1206548"/>
              <a:gd name="connsiteY3" fmla="*/ 0 h 245851"/>
              <a:gd name="connsiteX0" fmla="*/ 480408 w 1193895"/>
              <a:gd name="connsiteY0" fmla="*/ 0 h 233083"/>
              <a:gd name="connsiteX1" fmla="*/ 0 w 1193895"/>
              <a:gd name="connsiteY1" fmla="*/ 233083 h 233083"/>
              <a:gd name="connsiteX2" fmla="*/ 1193895 w 1193895"/>
              <a:gd name="connsiteY2" fmla="*/ 4709 h 233083"/>
              <a:gd name="connsiteX3" fmla="*/ 480408 w 1193895"/>
              <a:gd name="connsiteY3" fmla="*/ 0 h 233083"/>
            </a:gdLst>
            <a:ahLst/>
            <a:cxnLst>
              <a:cxn ang="0">
                <a:pos x="connsiteX0" y="connsiteY0"/>
              </a:cxn>
              <a:cxn ang="0">
                <a:pos x="connsiteX1" y="connsiteY1"/>
              </a:cxn>
              <a:cxn ang="0">
                <a:pos x="connsiteX2" y="connsiteY2"/>
              </a:cxn>
              <a:cxn ang="0">
                <a:pos x="connsiteX3" y="connsiteY3"/>
              </a:cxn>
            </a:cxnLst>
            <a:rect l="l" t="t" r="r" b="b"/>
            <a:pathLst>
              <a:path w="1193895" h="233083">
                <a:moveTo>
                  <a:pt x="480408" y="0"/>
                </a:moveTo>
                <a:lnTo>
                  <a:pt x="0" y="233083"/>
                </a:lnTo>
                <a:lnTo>
                  <a:pt x="1193895" y="4709"/>
                </a:lnTo>
                <a:lnTo>
                  <a:pt x="480408" y="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1" name="Freeform: Shape 1750">
            <a:extLst>
              <a:ext uri="{FF2B5EF4-FFF2-40B4-BE49-F238E27FC236}">
                <a16:creationId xmlns:a16="http://schemas.microsoft.com/office/drawing/2014/main" id="{00000000-0008-0000-0200-0000D7060000}"/>
              </a:ext>
            </a:extLst>
          </xdr:cNvPr>
          <xdr:cNvSpPr/>
        </xdr:nvSpPr>
        <xdr:spPr>
          <a:xfrm flipH="1">
            <a:off x="10980916" y="10613717"/>
            <a:ext cx="1198284" cy="231838"/>
          </a:xfrm>
          <a:custGeom>
            <a:avLst/>
            <a:gdLst>
              <a:gd name="connsiteX0" fmla="*/ 493059 w 1219200"/>
              <a:gd name="connsiteY0" fmla="*/ 0 h 233082"/>
              <a:gd name="connsiteX1" fmla="*/ 0 w 1219200"/>
              <a:gd name="connsiteY1" fmla="*/ 233082 h 233082"/>
              <a:gd name="connsiteX2" fmla="*/ 1219200 w 1219200"/>
              <a:gd name="connsiteY2" fmla="*/ 8965 h 233082"/>
              <a:gd name="connsiteX3" fmla="*/ 493059 w 1219200"/>
              <a:gd name="connsiteY3" fmla="*/ 0 h 233082"/>
              <a:gd name="connsiteX0" fmla="*/ 493059 w 1231853"/>
              <a:gd name="connsiteY0" fmla="*/ 3803 h 236885"/>
              <a:gd name="connsiteX1" fmla="*/ 0 w 1231853"/>
              <a:gd name="connsiteY1" fmla="*/ 236885 h 236885"/>
              <a:gd name="connsiteX2" fmla="*/ 1231853 w 1231853"/>
              <a:gd name="connsiteY2" fmla="*/ 0 h 236885"/>
              <a:gd name="connsiteX3" fmla="*/ 493059 w 1231853"/>
              <a:gd name="connsiteY3" fmla="*/ 3803 h 236885"/>
              <a:gd name="connsiteX0" fmla="*/ 471971 w 1210765"/>
              <a:gd name="connsiteY0" fmla="*/ 3803 h 236885"/>
              <a:gd name="connsiteX1" fmla="*/ 0 w 1210765"/>
              <a:gd name="connsiteY1" fmla="*/ 236885 h 236885"/>
              <a:gd name="connsiteX2" fmla="*/ 1210765 w 1210765"/>
              <a:gd name="connsiteY2" fmla="*/ 0 h 236885"/>
              <a:gd name="connsiteX3" fmla="*/ 471971 w 1210765"/>
              <a:gd name="connsiteY3" fmla="*/ 3803 h 236885"/>
              <a:gd name="connsiteX0" fmla="*/ 467754 w 1206548"/>
              <a:gd name="connsiteY0" fmla="*/ 3803 h 241142"/>
              <a:gd name="connsiteX1" fmla="*/ 0 w 1206548"/>
              <a:gd name="connsiteY1" fmla="*/ 241142 h 241142"/>
              <a:gd name="connsiteX2" fmla="*/ 1206548 w 1206548"/>
              <a:gd name="connsiteY2" fmla="*/ 0 h 241142"/>
              <a:gd name="connsiteX3" fmla="*/ 467754 w 1206548"/>
              <a:gd name="connsiteY3" fmla="*/ 3803 h 241142"/>
              <a:gd name="connsiteX0" fmla="*/ 493061 w 1206548"/>
              <a:gd name="connsiteY0" fmla="*/ 0 h 245851"/>
              <a:gd name="connsiteX1" fmla="*/ 0 w 1206548"/>
              <a:gd name="connsiteY1" fmla="*/ 245851 h 245851"/>
              <a:gd name="connsiteX2" fmla="*/ 1206548 w 1206548"/>
              <a:gd name="connsiteY2" fmla="*/ 4709 h 245851"/>
              <a:gd name="connsiteX3" fmla="*/ 493061 w 1206548"/>
              <a:gd name="connsiteY3" fmla="*/ 0 h 245851"/>
              <a:gd name="connsiteX0" fmla="*/ 480408 w 1193895"/>
              <a:gd name="connsiteY0" fmla="*/ 0 h 233083"/>
              <a:gd name="connsiteX1" fmla="*/ 0 w 1193895"/>
              <a:gd name="connsiteY1" fmla="*/ 233083 h 233083"/>
              <a:gd name="connsiteX2" fmla="*/ 1193895 w 1193895"/>
              <a:gd name="connsiteY2" fmla="*/ 4709 h 233083"/>
              <a:gd name="connsiteX3" fmla="*/ 480408 w 1193895"/>
              <a:gd name="connsiteY3" fmla="*/ 0 h 233083"/>
            </a:gdLst>
            <a:ahLst/>
            <a:cxnLst>
              <a:cxn ang="0">
                <a:pos x="connsiteX0" y="connsiteY0"/>
              </a:cxn>
              <a:cxn ang="0">
                <a:pos x="connsiteX1" y="connsiteY1"/>
              </a:cxn>
              <a:cxn ang="0">
                <a:pos x="connsiteX2" y="connsiteY2"/>
              </a:cxn>
              <a:cxn ang="0">
                <a:pos x="connsiteX3" y="connsiteY3"/>
              </a:cxn>
            </a:cxnLst>
            <a:rect l="l" t="t" r="r" b="b"/>
            <a:pathLst>
              <a:path w="1193895" h="233083">
                <a:moveTo>
                  <a:pt x="480408" y="0"/>
                </a:moveTo>
                <a:lnTo>
                  <a:pt x="0" y="233083"/>
                </a:lnTo>
                <a:lnTo>
                  <a:pt x="1193895" y="4709"/>
                </a:lnTo>
                <a:lnTo>
                  <a:pt x="480408" y="0"/>
                </a:lnTo>
                <a:close/>
              </a:path>
            </a:pathLst>
          </a:custGeom>
          <a:solidFill>
            <a:srgbClr val="FFD7D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FFD7DC"/>
              </a:solidFill>
            </a:endParaRPr>
          </a:p>
        </xdr:txBody>
      </xdr:sp>
    </xdr:grpSp>
    <xdr:clientData/>
  </xdr:twoCellAnchor>
  <xdr:oneCellAnchor>
    <xdr:from>
      <xdr:col>2</xdr:col>
      <xdr:colOff>426720</xdr:colOff>
      <xdr:row>1048</xdr:row>
      <xdr:rowOff>205740</xdr:rowOff>
    </xdr:from>
    <xdr:ext cx="848412" cy="914400"/>
    <xdr:pic>
      <xdr:nvPicPr>
        <xdr:cNvPr id="1763" name="thumbs down, light red" hidden="1">
          <a:extLst>
            <a:ext uri="{FF2B5EF4-FFF2-40B4-BE49-F238E27FC236}">
              <a16:creationId xmlns:a16="http://schemas.microsoft.com/office/drawing/2014/main" id="{00000000-0008-0000-0200-0000E306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330440" y="10431780"/>
          <a:ext cx="848412" cy="914400"/>
        </a:xfrm>
        <a:prstGeom prst="rect">
          <a:avLst/>
        </a:prstGeom>
      </xdr:spPr>
    </xdr:pic>
    <xdr:clientData/>
  </xdr:oneCellAnchor>
  <xdr:oneCellAnchor>
    <xdr:from>
      <xdr:col>10</xdr:col>
      <xdr:colOff>231420</xdr:colOff>
      <xdr:row>1048</xdr:row>
      <xdr:rowOff>33300</xdr:rowOff>
    </xdr:from>
    <xdr:ext cx="848412" cy="914400"/>
    <xdr:pic>
      <xdr:nvPicPr>
        <xdr:cNvPr id="1764" name="thumbs up, light green" hidden="1">
          <a:extLst>
            <a:ext uri="{FF2B5EF4-FFF2-40B4-BE49-F238E27FC236}">
              <a16:creationId xmlns:a16="http://schemas.microsoft.com/office/drawing/2014/main" id="{00000000-0008-0000-0200-0000E406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11158500" y="10259340"/>
          <a:ext cx="848412" cy="914400"/>
        </a:xfrm>
        <a:prstGeom prst="rect">
          <a:avLst/>
        </a:prstGeom>
      </xdr:spPr>
    </xdr:pic>
    <xdr:clientData/>
  </xdr:oneCellAnchor>
  <xdr:twoCellAnchor>
    <xdr:from>
      <xdr:col>1</xdr:col>
      <xdr:colOff>45720</xdr:colOff>
      <xdr:row>1126</xdr:row>
      <xdr:rowOff>30472</xdr:rowOff>
    </xdr:from>
    <xdr:to>
      <xdr:col>12</xdr:col>
      <xdr:colOff>441960</xdr:colOff>
      <xdr:row>1135</xdr:row>
      <xdr:rowOff>30472</xdr:rowOff>
    </xdr:to>
    <xdr:grpSp>
      <xdr:nvGrpSpPr>
        <xdr:cNvPr id="1765" name="vulnerable needs ICEBERGs">
          <a:extLst>
            <a:ext uri="{FF2B5EF4-FFF2-40B4-BE49-F238E27FC236}">
              <a16:creationId xmlns:a16="http://schemas.microsoft.com/office/drawing/2014/main" id="{00000000-0008-0000-0200-0000E5060000}"/>
            </a:ext>
          </a:extLst>
        </xdr:cNvPr>
        <xdr:cNvGrpSpPr/>
      </xdr:nvGrpSpPr>
      <xdr:grpSpPr>
        <a:xfrm>
          <a:off x="160020" y="224233732"/>
          <a:ext cx="5928360" cy="1920240"/>
          <a:chOff x="6357620" y="19964193"/>
          <a:chExt cx="5844540" cy="1787520"/>
        </a:xfrm>
      </xdr:grpSpPr>
      <xdr:sp macro="" textlink="">
        <xdr:nvSpPr>
          <xdr:cNvPr id="1766" name="iceberg: far left socialist">
            <a:extLst>
              <a:ext uri="{FF2B5EF4-FFF2-40B4-BE49-F238E27FC236}">
                <a16:creationId xmlns:a16="http://schemas.microsoft.com/office/drawing/2014/main" id="{00000000-0008-0000-0200-0000E6060000}"/>
              </a:ext>
            </a:extLst>
          </xdr:cNvPr>
          <xdr:cNvSpPr/>
        </xdr:nvSpPr>
        <xdr:spPr>
          <a:xfrm>
            <a:off x="635762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7" name="iceberg: social progressive">
            <a:extLst>
              <a:ext uri="{FF2B5EF4-FFF2-40B4-BE49-F238E27FC236}">
                <a16:creationId xmlns:a16="http://schemas.microsoft.com/office/drawing/2014/main" id="{00000000-0008-0000-0200-0000E7060000}"/>
              </a:ext>
            </a:extLst>
          </xdr:cNvPr>
          <xdr:cNvSpPr/>
        </xdr:nvSpPr>
        <xdr:spPr>
          <a:xfrm>
            <a:off x="736346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8" name="iceberg: center left liberal">
            <a:extLst>
              <a:ext uri="{FF2B5EF4-FFF2-40B4-BE49-F238E27FC236}">
                <a16:creationId xmlns:a16="http://schemas.microsoft.com/office/drawing/2014/main" id="{00000000-0008-0000-0200-0000E8060000}"/>
              </a:ext>
            </a:extLst>
          </xdr:cNvPr>
          <xdr:cNvSpPr/>
        </xdr:nvSpPr>
        <xdr:spPr>
          <a:xfrm>
            <a:off x="833120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9" name="iceberg: center right conserv">
            <a:extLst>
              <a:ext uri="{FF2B5EF4-FFF2-40B4-BE49-F238E27FC236}">
                <a16:creationId xmlns:a16="http://schemas.microsoft.com/office/drawing/2014/main" id="{00000000-0008-0000-0200-0000E9060000}"/>
              </a:ext>
            </a:extLst>
          </xdr:cNvPr>
          <xdr:cNvSpPr/>
        </xdr:nvSpPr>
        <xdr:spPr>
          <a:xfrm flipH="1">
            <a:off x="932942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0" name="iceberg: new rt reactionary">
            <a:extLst>
              <a:ext uri="{FF2B5EF4-FFF2-40B4-BE49-F238E27FC236}">
                <a16:creationId xmlns:a16="http://schemas.microsoft.com/office/drawing/2014/main" id="{00000000-0008-0000-0200-0000EA060000}"/>
              </a:ext>
            </a:extLst>
          </xdr:cNvPr>
          <xdr:cNvSpPr/>
        </xdr:nvSpPr>
        <xdr:spPr>
          <a:xfrm flipH="1">
            <a:off x="1033526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1" name="iceberg: far rt or alt-right">
            <a:extLst>
              <a:ext uri="{FF2B5EF4-FFF2-40B4-BE49-F238E27FC236}">
                <a16:creationId xmlns:a16="http://schemas.microsoft.com/office/drawing/2014/main" id="{00000000-0008-0000-0200-0000EB060000}"/>
              </a:ext>
            </a:extLst>
          </xdr:cNvPr>
          <xdr:cNvSpPr/>
        </xdr:nvSpPr>
        <xdr:spPr>
          <a:xfrm flipH="1">
            <a:off x="1130300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2" name="iceberg: center right - tip">
            <a:extLst>
              <a:ext uri="{FF2B5EF4-FFF2-40B4-BE49-F238E27FC236}">
                <a16:creationId xmlns:a16="http://schemas.microsoft.com/office/drawing/2014/main" id="{00000000-0008-0000-0200-0000EC060000}"/>
              </a:ext>
            </a:extLst>
          </xdr:cNvPr>
          <xdr:cNvSpPr/>
        </xdr:nvSpPr>
        <xdr:spPr>
          <a:xfrm flipH="1">
            <a:off x="9343813"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3" name="iceberg: react right - tip">
            <a:extLst>
              <a:ext uri="{FF2B5EF4-FFF2-40B4-BE49-F238E27FC236}">
                <a16:creationId xmlns:a16="http://schemas.microsoft.com/office/drawing/2014/main" id="{00000000-0008-0000-0200-0000ED060000}"/>
              </a:ext>
            </a:extLst>
          </xdr:cNvPr>
          <xdr:cNvSpPr/>
        </xdr:nvSpPr>
        <xdr:spPr>
          <a:xfrm flipH="1">
            <a:off x="10347113"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4" name="iceberg: far right - tip">
            <a:extLst>
              <a:ext uri="{FF2B5EF4-FFF2-40B4-BE49-F238E27FC236}">
                <a16:creationId xmlns:a16="http://schemas.microsoft.com/office/drawing/2014/main" id="{00000000-0008-0000-0200-0000EE060000}"/>
              </a:ext>
            </a:extLst>
          </xdr:cNvPr>
          <xdr:cNvSpPr/>
        </xdr:nvSpPr>
        <xdr:spPr>
          <a:xfrm flipH="1">
            <a:off x="11320779"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54972</xdr:colOff>
      <xdr:row>1155</xdr:row>
      <xdr:rowOff>94240</xdr:rowOff>
    </xdr:from>
    <xdr:to>
      <xdr:col>12</xdr:col>
      <xdr:colOff>495299</xdr:colOff>
      <xdr:row>1175</xdr:row>
      <xdr:rowOff>0</xdr:rowOff>
    </xdr:to>
    <xdr:grpSp>
      <xdr:nvGrpSpPr>
        <xdr:cNvPr id="1809" name="SWOT lettering" hidden="1">
          <a:extLst>
            <a:ext uri="{FF2B5EF4-FFF2-40B4-BE49-F238E27FC236}">
              <a16:creationId xmlns:a16="http://schemas.microsoft.com/office/drawing/2014/main" id="{00000000-0008-0000-0200-000011070000}"/>
            </a:ext>
          </a:extLst>
        </xdr:cNvPr>
        <xdr:cNvGrpSpPr/>
      </xdr:nvGrpSpPr>
      <xdr:grpSpPr>
        <a:xfrm>
          <a:off x="54972" y="230378260"/>
          <a:ext cx="6086747" cy="4752080"/>
          <a:chOff x="6242412" y="35123380"/>
          <a:chExt cx="6010547" cy="4493000"/>
        </a:xfrm>
      </xdr:grpSpPr>
      <xdr:sp macro="" textlink="">
        <xdr:nvSpPr>
          <xdr:cNvPr id="1810" name="S blue of SWOT">
            <a:extLst>
              <a:ext uri="{FF2B5EF4-FFF2-40B4-BE49-F238E27FC236}">
                <a16:creationId xmlns:a16="http://schemas.microsoft.com/office/drawing/2014/main" id="{00000000-0008-0000-0200-000012070000}"/>
              </a:ext>
            </a:extLst>
          </xdr:cNvPr>
          <xdr:cNvSpPr/>
        </xdr:nvSpPr>
        <xdr:spPr>
          <a:xfrm>
            <a:off x="6242412" y="3552724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S</a:t>
            </a:r>
          </a:p>
        </xdr:txBody>
      </xdr:sp>
      <xdr:sp macro="" textlink="">
        <xdr:nvSpPr>
          <xdr:cNvPr id="1811" name="W blue of SWOT">
            <a:extLst>
              <a:ext uri="{FF2B5EF4-FFF2-40B4-BE49-F238E27FC236}">
                <a16:creationId xmlns:a16="http://schemas.microsoft.com/office/drawing/2014/main" id="{00000000-0008-0000-0200-000013070000}"/>
              </a:ext>
            </a:extLst>
          </xdr:cNvPr>
          <xdr:cNvSpPr/>
        </xdr:nvSpPr>
        <xdr:spPr>
          <a:xfrm>
            <a:off x="7286352" y="35527240"/>
            <a:ext cx="1529987" cy="2344160"/>
          </a:xfrm>
          <a:prstGeom prst="rect">
            <a:avLst/>
          </a:prstGeom>
          <a:noFill/>
        </xdr:spPr>
        <xdr:txBody>
          <a:bodyPr wrap="none" lIns="0" tIns="0" rIns="0" bIns="0">
            <a:noAutofit/>
          </a:bodyPr>
          <a:lstStyle/>
          <a:p>
            <a:pPr algn="ctr"/>
            <a:r>
              <a:rPr lang="en-US" sz="16500" b="0" cap="none" spc="-6000" baseline="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1812" name="O blue of SWOT">
            <a:extLst>
              <a:ext uri="{FF2B5EF4-FFF2-40B4-BE49-F238E27FC236}">
                <a16:creationId xmlns:a16="http://schemas.microsoft.com/office/drawing/2014/main" id="{00000000-0008-0000-0200-000014070000}"/>
              </a:ext>
            </a:extLst>
          </xdr:cNvPr>
          <xdr:cNvSpPr/>
        </xdr:nvSpPr>
        <xdr:spPr>
          <a:xfrm>
            <a:off x="627289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O</a:t>
            </a:r>
          </a:p>
        </xdr:txBody>
      </xdr:sp>
      <xdr:sp macro="" textlink="">
        <xdr:nvSpPr>
          <xdr:cNvPr id="1813" name="T blue of SWOT">
            <a:extLst>
              <a:ext uri="{FF2B5EF4-FFF2-40B4-BE49-F238E27FC236}">
                <a16:creationId xmlns:a16="http://schemas.microsoft.com/office/drawing/2014/main" id="{00000000-0008-0000-0200-000015070000}"/>
              </a:ext>
            </a:extLst>
          </xdr:cNvPr>
          <xdr:cNvSpPr/>
        </xdr:nvSpPr>
        <xdr:spPr>
          <a:xfrm>
            <a:off x="777403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T</a:t>
            </a:r>
          </a:p>
        </xdr:txBody>
      </xdr:sp>
      <xdr:sp macro="" textlink="">
        <xdr:nvSpPr>
          <xdr:cNvPr id="1814" name="S red of SWOT">
            <a:extLst>
              <a:ext uri="{FF2B5EF4-FFF2-40B4-BE49-F238E27FC236}">
                <a16:creationId xmlns:a16="http://schemas.microsoft.com/office/drawing/2014/main" id="{00000000-0008-0000-0200-000016070000}"/>
              </a:ext>
            </a:extLst>
          </xdr:cNvPr>
          <xdr:cNvSpPr/>
        </xdr:nvSpPr>
        <xdr:spPr>
          <a:xfrm>
            <a:off x="9275172" y="3512338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S</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1815" name="W red of SWOT">
            <a:extLst>
              <a:ext uri="{FF2B5EF4-FFF2-40B4-BE49-F238E27FC236}">
                <a16:creationId xmlns:a16="http://schemas.microsoft.com/office/drawing/2014/main" id="{00000000-0008-0000-0200-000017070000}"/>
              </a:ext>
            </a:extLst>
          </xdr:cNvPr>
          <xdr:cNvSpPr/>
        </xdr:nvSpPr>
        <xdr:spPr>
          <a:xfrm>
            <a:off x="10326732" y="35527240"/>
            <a:ext cx="1529987" cy="2344160"/>
          </a:xfrm>
          <a:prstGeom prst="rect">
            <a:avLst/>
          </a:prstGeom>
          <a:noFill/>
        </xdr:spPr>
        <xdr:txBody>
          <a:bodyPr wrap="none" lIns="0" tIns="0" rIns="0" bIns="0">
            <a:noAutofit/>
          </a:bodyPr>
          <a:lstStyle/>
          <a:p>
            <a:pPr algn="ctr"/>
            <a:r>
              <a:rPr lang="en-US" sz="16500" b="0" cap="none" spc="-6000" baseline="0">
                <a:ln w="0">
                  <a:solidFill>
                    <a:srgbClr val="FF3C3C"/>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1816" name="O red of SWOT">
            <a:extLst>
              <a:ext uri="{FF2B5EF4-FFF2-40B4-BE49-F238E27FC236}">
                <a16:creationId xmlns:a16="http://schemas.microsoft.com/office/drawing/2014/main" id="{00000000-0008-0000-0200-000018070000}"/>
              </a:ext>
            </a:extLst>
          </xdr:cNvPr>
          <xdr:cNvSpPr/>
        </xdr:nvSpPr>
        <xdr:spPr>
          <a:xfrm>
            <a:off x="92751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O</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1817" name="T red of SWOT">
            <a:extLst>
              <a:ext uri="{FF2B5EF4-FFF2-40B4-BE49-F238E27FC236}">
                <a16:creationId xmlns:a16="http://schemas.microsoft.com/office/drawing/2014/main" id="{00000000-0008-0000-0200-000019070000}"/>
              </a:ext>
            </a:extLst>
          </xdr:cNvPr>
          <xdr:cNvSpPr/>
        </xdr:nvSpPr>
        <xdr:spPr>
          <a:xfrm>
            <a:off x="107229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T</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grpSp>
    <xdr:clientData/>
  </xdr:twoCellAnchor>
  <xdr:oneCellAnchor>
    <xdr:from>
      <xdr:col>1</xdr:col>
      <xdr:colOff>22860</xdr:colOff>
      <xdr:row>1295</xdr:row>
      <xdr:rowOff>60960</xdr:rowOff>
    </xdr:from>
    <xdr:ext cx="5943600" cy="3110484"/>
    <xdr:pic>
      <xdr:nvPicPr>
        <xdr:cNvPr id="1903" name="Picture 1902" hidden="1">
          <a:extLst>
            <a:ext uri="{FF2B5EF4-FFF2-40B4-BE49-F238E27FC236}">
              <a16:creationId xmlns:a16="http://schemas.microsoft.com/office/drawing/2014/main" id="{00000000-0008-0000-0200-00006F070000}"/>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6423660" y="89946480"/>
          <a:ext cx="5943600" cy="3110484"/>
        </a:xfrm>
        <a:prstGeom prst="rect">
          <a:avLst/>
        </a:prstGeom>
      </xdr:spPr>
    </xdr:pic>
    <xdr:clientData/>
  </xdr:oneCellAnchor>
  <xdr:twoCellAnchor>
    <xdr:from>
      <xdr:col>0</xdr:col>
      <xdr:colOff>68580</xdr:colOff>
      <xdr:row>1292</xdr:row>
      <xdr:rowOff>190500</xdr:rowOff>
    </xdr:from>
    <xdr:to>
      <xdr:col>6</xdr:col>
      <xdr:colOff>121920</xdr:colOff>
      <xdr:row>1301</xdr:row>
      <xdr:rowOff>7620</xdr:rowOff>
    </xdr:to>
    <xdr:sp macro="" textlink="">
      <xdr:nvSpPr>
        <xdr:cNvPr id="1904" name="Speech Bubble: Rectangle with Corners Rounded 1903">
          <a:extLst>
            <a:ext uri="{FF2B5EF4-FFF2-40B4-BE49-F238E27FC236}">
              <a16:creationId xmlns:a16="http://schemas.microsoft.com/office/drawing/2014/main" id="{00000000-0008-0000-0200-000070070000}"/>
            </a:ext>
          </a:extLst>
        </xdr:cNvPr>
        <xdr:cNvSpPr/>
      </xdr:nvSpPr>
      <xdr:spPr>
        <a:xfrm>
          <a:off x="6347460" y="89466420"/>
          <a:ext cx="2689860" cy="1554480"/>
        </a:xfrm>
        <a:prstGeom prst="wedgeRoundRectCallout">
          <a:avLst>
            <a:gd name="adj1" fmla="val 1390"/>
            <a:gd name="adj2" fmla="val 65189"/>
            <a:gd name="adj3" fmla="val 16667"/>
          </a:avLst>
        </a:prstGeom>
        <a:solidFill>
          <a:srgbClr val="BDD7EE">
            <a:alpha val="20000"/>
          </a:srgbClr>
        </a:solidFill>
        <a:ln w="28575">
          <a:solidFill>
            <a:schemeClr val="accent5">
              <a:lumMod val="60000"/>
              <a:lumOff val="40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68580</xdr:colOff>
      <xdr:row>1305</xdr:row>
      <xdr:rowOff>99060</xdr:rowOff>
    </xdr:from>
    <xdr:to>
      <xdr:col>6</xdr:col>
      <xdr:colOff>121920</xdr:colOff>
      <xdr:row>1314</xdr:row>
      <xdr:rowOff>12192</xdr:rowOff>
    </xdr:to>
    <xdr:sp macro="" textlink="">
      <xdr:nvSpPr>
        <xdr:cNvPr id="1905" name="Speech Bubble: Rectangle with Corners Rounded 1904">
          <a:extLst>
            <a:ext uri="{FF2B5EF4-FFF2-40B4-BE49-F238E27FC236}">
              <a16:creationId xmlns:a16="http://schemas.microsoft.com/office/drawing/2014/main" id="{00000000-0008-0000-0200-000071070000}"/>
            </a:ext>
          </a:extLst>
        </xdr:cNvPr>
        <xdr:cNvSpPr/>
      </xdr:nvSpPr>
      <xdr:spPr>
        <a:xfrm flipV="1">
          <a:off x="6347460" y="91843860"/>
          <a:ext cx="2689860" cy="1559052"/>
        </a:xfrm>
        <a:prstGeom prst="wedgeRoundRectCallout">
          <a:avLst>
            <a:gd name="adj1" fmla="val 1990"/>
            <a:gd name="adj2" fmla="val 66801"/>
            <a:gd name="adj3" fmla="val 16667"/>
          </a:avLst>
        </a:prstGeom>
        <a:solidFill>
          <a:srgbClr val="BDD7EE">
            <a:alpha val="20000"/>
          </a:srgbClr>
        </a:solidFill>
        <a:ln w="28575">
          <a:solidFill>
            <a:schemeClr val="accent5">
              <a:lumMod val="60000"/>
              <a:lumOff val="40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365760</xdr:colOff>
      <xdr:row>1293</xdr:row>
      <xdr:rowOff>7620</xdr:rowOff>
    </xdr:from>
    <xdr:to>
      <xdr:col>13</xdr:col>
      <xdr:colOff>45720</xdr:colOff>
      <xdr:row>1301</xdr:row>
      <xdr:rowOff>22860</xdr:rowOff>
    </xdr:to>
    <xdr:sp macro="" textlink="">
      <xdr:nvSpPr>
        <xdr:cNvPr id="1906" name="Speech Bubble: Rectangle with Corners Rounded 1905">
          <a:extLst>
            <a:ext uri="{FF2B5EF4-FFF2-40B4-BE49-F238E27FC236}">
              <a16:creationId xmlns:a16="http://schemas.microsoft.com/office/drawing/2014/main" id="{00000000-0008-0000-0200-000072070000}"/>
            </a:ext>
          </a:extLst>
        </xdr:cNvPr>
        <xdr:cNvSpPr/>
      </xdr:nvSpPr>
      <xdr:spPr>
        <a:xfrm flipH="1">
          <a:off x="9784080" y="89496900"/>
          <a:ext cx="2697480" cy="1539240"/>
        </a:xfrm>
        <a:prstGeom prst="wedgeRoundRectCallout">
          <a:avLst>
            <a:gd name="adj1" fmla="val 592"/>
            <a:gd name="adj2" fmla="val 64259"/>
            <a:gd name="adj3" fmla="val 16667"/>
          </a:avLst>
        </a:prstGeom>
        <a:solidFill>
          <a:srgbClr val="FFCCCC">
            <a:alpha val="20000"/>
          </a:srgbClr>
        </a:solidFill>
        <a:ln w="28575">
          <a:solidFill>
            <a:srgbClr val="FF9999"/>
          </a:solidFill>
        </a:ln>
        <a:scene3d>
          <a:camera prst="orthographicFront"/>
          <a:lightRig rig="threePt" dir="t"/>
        </a:scene3d>
        <a:sp3d>
          <a:bevelT/>
        </a:sp3d>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381000</xdr:colOff>
      <xdr:row>1305</xdr:row>
      <xdr:rowOff>99060</xdr:rowOff>
    </xdr:from>
    <xdr:to>
      <xdr:col>13</xdr:col>
      <xdr:colOff>60960</xdr:colOff>
      <xdr:row>1314</xdr:row>
      <xdr:rowOff>12192</xdr:rowOff>
    </xdr:to>
    <xdr:sp macro="" textlink="">
      <xdr:nvSpPr>
        <xdr:cNvPr id="1907" name="Speech Bubble: Rectangle with Corners Rounded 1906">
          <a:extLst>
            <a:ext uri="{FF2B5EF4-FFF2-40B4-BE49-F238E27FC236}">
              <a16:creationId xmlns:a16="http://schemas.microsoft.com/office/drawing/2014/main" id="{00000000-0008-0000-0200-000073070000}"/>
            </a:ext>
          </a:extLst>
        </xdr:cNvPr>
        <xdr:cNvSpPr/>
      </xdr:nvSpPr>
      <xdr:spPr>
        <a:xfrm flipH="1" flipV="1">
          <a:off x="9799320" y="91843860"/>
          <a:ext cx="2697480" cy="1559052"/>
        </a:xfrm>
        <a:prstGeom prst="wedgeRoundRectCallout">
          <a:avLst>
            <a:gd name="adj1" fmla="val 754"/>
            <a:gd name="adj2" fmla="val 66355"/>
            <a:gd name="adj3" fmla="val 16667"/>
          </a:avLst>
        </a:prstGeom>
        <a:solidFill>
          <a:srgbClr val="FFCCCC">
            <a:alpha val="20000"/>
          </a:srgbClr>
        </a:solidFill>
        <a:ln w="28575">
          <a:solidFill>
            <a:srgbClr val="FF9999"/>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70505</xdr:colOff>
      <xdr:row>1479</xdr:row>
      <xdr:rowOff>229159</xdr:rowOff>
    </xdr:from>
    <xdr:to>
      <xdr:col>2</xdr:col>
      <xdr:colOff>218708</xdr:colOff>
      <xdr:row>1482</xdr:row>
      <xdr:rowOff>149757</xdr:rowOff>
    </xdr:to>
    <xdr:grpSp>
      <xdr:nvGrpSpPr>
        <xdr:cNvPr id="1954" name="Group 1953">
          <a:extLst>
            <a:ext uri="{FF2B5EF4-FFF2-40B4-BE49-F238E27FC236}">
              <a16:creationId xmlns:a16="http://schemas.microsoft.com/office/drawing/2014/main" id="{00000000-0008-0000-0200-0000A2070000}"/>
            </a:ext>
          </a:extLst>
        </xdr:cNvPr>
        <xdr:cNvGrpSpPr/>
      </xdr:nvGrpSpPr>
      <xdr:grpSpPr>
        <a:xfrm>
          <a:off x="184805" y="290551159"/>
          <a:ext cx="651123" cy="621638"/>
          <a:chOff x="6438900" y="87877029"/>
          <a:chExt cx="645689" cy="621682"/>
        </a:xfrm>
      </xdr:grpSpPr>
      <xdr:sp macro="" textlink="">
        <xdr:nvSpPr>
          <xdr:cNvPr id="1955" name="Oval 1954">
            <a:extLst>
              <a:ext uri="{FF2B5EF4-FFF2-40B4-BE49-F238E27FC236}">
                <a16:creationId xmlns:a16="http://schemas.microsoft.com/office/drawing/2014/main" id="{00000000-0008-0000-0200-0000A3070000}"/>
              </a:ext>
            </a:extLst>
          </xdr:cNvPr>
          <xdr:cNvSpPr>
            <a:spLocks noChangeAspect="1"/>
          </xdr:cNvSpPr>
        </xdr:nvSpPr>
        <xdr:spPr>
          <a:xfrm>
            <a:off x="6438900" y="88041480"/>
            <a:ext cx="471867" cy="457231"/>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0795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1956" name="Rectangle 1955">
            <a:extLst>
              <a:ext uri="{FF2B5EF4-FFF2-40B4-BE49-F238E27FC236}">
                <a16:creationId xmlns:a16="http://schemas.microsoft.com/office/drawing/2014/main" id="{00000000-0008-0000-0200-0000A4070000}"/>
              </a:ext>
            </a:extLst>
          </xdr:cNvPr>
          <xdr:cNvSpPr/>
        </xdr:nvSpPr>
        <xdr:spPr>
          <a:xfrm>
            <a:off x="6442334" y="87877029"/>
            <a:ext cx="642255" cy="548677"/>
          </a:xfrm>
          <a:prstGeom prst="rect">
            <a:avLst/>
          </a:prstGeom>
          <a:noFill/>
        </xdr:spPr>
        <xdr:txBody>
          <a:bodyPr wrap="none" lIns="91440" tIns="45720" rIns="91440" bIns="45720">
            <a:no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62734</xdr:colOff>
      <xdr:row>1482</xdr:row>
      <xdr:rowOff>100439</xdr:rowOff>
    </xdr:from>
    <xdr:to>
      <xdr:col>2</xdr:col>
      <xdr:colOff>236225</xdr:colOff>
      <xdr:row>1485</xdr:row>
      <xdr:rowOff>131078</xdr:rowOff>
    </xdr:to>
    <xdr:grpSp>
      <xdr:nvGrpSpPr>
        <xdr:cNvPr id="1957" name="Group 1956">
          <a:extLst>
            <a:ext uri="{FF2B5EF4-FFF2-40B4-BE49-F238E27FC236}">
              <a16:creationId xmlns:a16="http://schemas.microsoft.com/office/drawing/2014/main" id="{00000000-0008-0000-0200-0000A5070000}"/>
            </a:ext>
          </a:extLst>
        </xdr:cNvPr>
        <xdr:cNvGrpSpPr/>
      </xdr:nvGrpSpPr>
      <xdr:grpSpPr>
        <a:xfrm>
          <a:off x="177034" y="291123479"/>
          <a:ext cx="676411" cy="602139"/>
          <a:chOff x="6438900" y="87864381"/>
          <a:chExt cx="671063" cy="735746"/>
        </a:xfrm>
      </xdr:grpSpPr>
      <xdr:sp macro="" textlink="">
        <xdr:nvSpPr>
          <xdr:cNvPr id="1958" name="Oval 1957">
            <a:extLst>
              <a:ext uri="{FF2B5EF4-FFF2-40B4-BE49-F238E27FC236}">
                <a16:creationId xmlns:a16="http://schemas.microsoft.com/office/drawing/2014/main" id="{00000000-0008-0000-0200-0000A6070000}"/>
              </a:ext>
            </a:extLst>
          </xdr:cNvPr>
          <xdr:cNvSpPr>
            <a:spLocks noChangeAspect="1"/>
          </xdr:cNvSpPr>
        </xdr:nvSpPr>
        <xdr:spPr>
          <a:xfrm>
            <a:off x="6438900" y="88041480"/>
            <a:ext cx="458753" cy="558647"/>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1959" name="Rectangle 1958">
            <a:extLst>
              <a:ext uri="{FF2B5EF4-FFF2-40B4-BE49-F238E27FC236}">
                <a16:creationId xmlns:a16="http://schemas.microsoft.com/office/drawing/2014/main" id="{00000000-0008-0000-0200-0000A7070000}"/>
              </a:ext>
            </a:extLst>
          </xdr:cNvPr>
          <xdr:cNvSpPr/>
        </xdr:nvSpPr>
        <xdr:spPr>
          <a:xfrm>
            <a:off x="6453585" y="87864381"/>
            <a:ext cx="656378" cy="696642"/>
          </a:xfrm>
          <a:prstGeom prst="rect">
            <a:avLst/>
          </a:prstGeom>
          <a:noFill/>
        </xdr:spPr>
        <xdr:txBody>
          <a:bodyPr wrap="none" lIns="91440" tIns="45720" rIns="91440" bIns="45720">
            <a:noAutofit/>
          </a:bodyPr>
          <a:lstStyle/>
          <a:p>
            <a:pPr algn="ctr"/>
            <a:r>
              <a:rPr lang="en-US" sz="3600" b="0" cap="none" spc="0">
                <a:ln w="0"/>
                <a:solidFill>
                  <a:srgbClr val="D7B9FF"/>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15240</xdr:colOff>
      <xdr:row>1243</xdr:row>
      <xdr:rowOff>45720</xdr:rowOff>
    </xdr:from>
    <xdr:to>
      <xdr:col>7</xdr:col>
      <xdr:colOff>242278</xdr:colOff>
      <xdr:row>1261</xdr:row>
      <xdr:rowOff>91440</xdr:rowOff>
    </xdr:to>
    <xdr:grpSp>
      <xdr:nvGrpSpPr>
        <xdr:cNvPr id="2001" name="Group 2000">
          <a:extLst>
            <a:ext uri="{FF2B5EF4-FFF2-40B4-BE49-F238E27FC236}">
              <a16:creationId xmlns:a16="http://schemas.microsoft.com/office/drawing/2014/main" id="{00000000-0008-0000-0200-0000D1070000}"/>
            </a:ext>
          </a:extLst>
        </xdr:cNvPr>
        <xdr:cNvGrpSpPr>
          <a:grpSpLocks noChangeAspect="1"/>
        </xdr:cNvGrpSpPr>
      </xdr:nvGrpSpPr>
      <xdr:grpSpPr>
        <a:xfrm>
          <a:off x="129540" y="247474740"/>
          <a:ext cx="3244558" cy="3200400"/>
          <a:chOff x="0" y="0"/>
          <a:chExt cx="3200400" cy="3200400"/>
        </a:xfrm>
      </xdr:grpSpPr>
      <xdr:grpSp>
        <xdr:nvGrpSpPr>
          <xdr:cNvPr id="2002" name="Group 2001">
            <a:extLst>
              <a:ext uri="{FF2B5EF4-FFF2-40B4-BE49-F238E27FC236}">
                <a16:creationId xmlns:a16="http://schemas.microsoft.com/office/drawing/2014/main" id="{00000000-0008-0000-0200-0000D2070000}"/>
              </a:ext>
            </a:extLst>
          </xdr:cNvPr>
          <xdr:cNvGrpSpPr/>
        </xdr:nvGrpSpPr>
        <xdr:grpSpPr>
          <a:xfrm>
            <a:off x="0" y="0"/>
            <a:ext cx="3200400" cy="3200400"/>
            <a:chOff x="0" y="0"/>
            <a:chExt cx="2651760" cy="2651760"/>
          </a:xfrm>
        </xdr:grpSpPr>
        <xdr:sp macro="" textlink="">
          <xdr:nvSpPr>
            <xdr:cNvPr id="2015" name="Circle: Hollow 2014">
              <a:extLst>
                <a:ext uri="{FF2B5EF4-FFF2-40B4-BE49-F238E27FC236}">
                  <a16:creationId xmlns:a16="http://schemas.microsoft.com/office/drawing/2014/main" id="{00000000-0008-0000-0200-0000DF07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16" name="Flowchart: Summing Junction 2015">
              <a:extLst>
                <a:ext uri="{FF2B5EF4-FFF2-40B4-BE49-F238E27FC236}">
                  <a16:creationId xmlns:a16="http://schemas.microsoft.com/office/drawing/2014/main" id="{00000000-0008-0000-0200-0000E007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03" name="1">
            <a:extLst>
              <a:ext uri="{FF2B5EF4-FFF2-40B4-BE49-F238E27FC236}">
                <a16:creationId xmlns:a16="http://schemas.microsoft.com/office/drawing/2014/main" id="{00000000-0008-0000-0200-0000D307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4" name="2">
            <a:extLst>
              <a:ext uri="{FF2B5EF4-FFF2-40B4-BE49-F238E27FC236}">
                <a16:creationId xmlns:a16="http://schemas.microsoft.com/office/drawing/2014/main" id="{00000000-0008-0000-0200-0000D407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5" name="3">
            <a:extLst>
              <a:ext uri="{FF2B5EF4-FFF2-40B4-BE49-F238E27FC236}">
                <a16:creationId xmlns:a16="http://schemas.microsoft.com/office/drawing/2014/main" id="{00000000-0008-0000-0200-0000D507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6" name="4">
            <a:extLst>
              <a:ext uri="{FF2B5EF4-FFF2-40B4-BE49-F238E27FC236}">
                <a16:creationId xmlns:a16="http://schemas.microsoft.com/office/drawing/2014/main" id="{00000000-0008-0000-0200-0000D6070000}"/>
              </a:ext>
            </a:extLst>
          </xdr:cNvPr>
          <xdr:cNvSpPr txBox="1"/>
        </xdr:nvSpPr>
        <xdr:spPr>
          <a:xfrm flipH="1">
            <a:off x="1057330" y="20015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7" name="Right Arrow 12">
            <a:extLst>
              <a:ext uri="{FF2B5EF4-FFF2-40B4-BE49-F238E27FC236}">
                <a16:creationId xmlns:a16="http://schemas.microsoft.com/office/drawing/2014/main" id="{00000000-0008-0000-0200-0000D7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8" name="Right Arrow 13">
            <a:extLst>
              <a:ext uri="{FF2B5EF4-FFF2-40B4-BE49-F238E27FC236}">
                <a16:creationId xmlns:a16="http://schemas.microsoft.com/office/drawing/2014/main" id="{00000000-0008-0000-0200-0000D8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9" name="Right Arrow 14">
            <a:extLst>
              <a:ext uri="{FF2B5EF4-FFF2-40B4-BE49-F238E27FC236}">
                <a16:creationId xmlns:a16="http://schemas.microsoft.com/office/drawing/2014/main" id="{00000000-0008-0000-0200-0000D9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0" name="Right Arrow 15">
            <a:extLst>
              <a:ext uri="{FF2B5EF4-FFF2-40B4-BE49-F238E27FC236}">
                <a16:creationId xmlns:a16="http://schemas.microsoft.com/office/drawing/2014/main" id="{00000000-0008-0000-0200-0000DA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1" name="S">
            <a:extLst>
              <a:ext uri="{FF2B5EF4-FFF2-40B4-BE49-F238E27FC236}">
                <a16:creationId xmlns:a16="http://schemas.microsoft.com/office/drawing/2014/main" id="{00000000-0008-0000-0200-0000DB070000}"/>
              </a:ext>
            </a:extLst>
          </xdr:cNvPr>
          <xdr:cNvSpPr txBox="1"/>
        </xdr:nvSpPr>
        <xdr:spPr>
          <a:xfrm>
            <a:off x="917070" y="2009705"/>
            <a:ext cx="1372270" cy="117117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 </a:t>
            </a:r>
            <a:b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b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12" name="W">
            <a:extLst>
              <a:ext uri="{FF2B5EF4-FFF2-40B4-BE49-F238E27FC236}">
                <a16:creationId xmlns:a16="http://schemas.microsoft.com/office/drawing/2014/main" id="{00000000-0008-0000-0200-0000DC070000}"/>
              </a:ext>
            </a:extLst>
          </xdr:cNvPr>
          <xdr:cNvSpPr txBox="1"/>
        </xdr:nvSpPr>
        <xdr:spPr>
          <a:xfrm flipH="1">
            <a:off x="120539" y="1133883"/>
            <a:ext cx="1015366"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resolve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suffer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3" name="N">
            <a:extLst>
              <a:ext uri="{FF2B5EF4-FFF2-40B4-BE49-F238E27FC236}">
                <a16:creationId xmlns:a16="http://schemas.microsoft.com/office/drawing/2014/main" id="{00000000-0008-0000-0200-0000DD070000}"/>
              </a:ext>
            </a:extLst>
          </xdr:cNvPr>
          <xdr:cNvSpPr txBox="1"/>
        </xdr:nvSpPr>
        <xdr:spPr>
          <a:xfrm>
            <a:off x="962812" y="172568"/>
            <a:ext cx="1280785"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suffer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generalize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4" name="E">
            <a:extLst>
              <a:ext uri="{FF2B5EF4-FFF2-40B4-BE49-F238E27FC236}">
                <a16:creationId xmlns:a16="http://schemas.microsoft.com/office/drawing/2014/main" id="{00000000-0008-0000-0200-0000DE070000}"/>
              </a:ext>
            </a:extLst>
          </xdr:cNvPr>
          <xdr:cNvSpPr txBox="1"/>
        </xdr:nvSpPr>
        <xdr:spPr>
          <a:xfrm flipH="1">
            <a:off x="1870035" y="1194804"/>
            <a:ext cx="1288409"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kern="1200"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22860</xdr:colOff>
      <xdr:row>1264</xdr:row>
      <xdr:rowOff>99060</xdr:rowOff>
    </xdr:from>
    <xdr:to>
      <xdr:col>7</xdr:col>
      <xdr:colOff>249898</xdr:colOff>
      <xdr:row>1282</xdr:row>
      <xdr:rowOff>144780</xdr:rowOff>
    </xdr:to>
    <xdr:grpSp>
      <xdr:nvGrpSpPr>
        <xdr:cNvPr id="2017" name="Group 2016">
          <a:extLst>
            <a:ext uri="{FF2B5EF4-FFF2-40B4-BE49-F238E27FC236}">
              <a16:creationId xmlns:a16="http://schemas.microsoft.com/office/drawing/2014/main" id="{00000000-0008-0000-0200-0000E1070000}"/>
            </a:ext>
          </a:extLst>
        </xdr:cNvPr>
        <xdr:cNvGrpSpPr>
          <a:grpSpLocks noChangeAspect="1"/>
        </xdr:cNvGrpSpPr>
      </xdr:nvGrpSpPr>
      <xdr:grpSpPr>
        <a:xfrm>
          <a:off x="137160" y="251208540"/>
          <a:ext cx="3244558" cy="3200400"/>
          <a:chOff x="0" y="0"/>
          <a:chExt cx="3200400" cy="3200400"/>
        </a:xfrm>
      </xdr:grpSpPr>
      <xdr:grpSp>
        <xdr:nvGrpSpPr>
          <xdr:cNvPr id="2018" name="Group 2017">
            <a:extLst>
              <a:ext uri="{FF2B5EF4-FFF2-40B4-BE49-F238E27FC236}">
                <a16:creationId xmlns:a16="http://schemas.microsoft.com/office/drawing/2014/main" id="{00000000-0008-0000-0200-0000E2070000}"/>
              </a:ext>
            </a:extLst>
          </xdr:cNvPr>
          <xdr:cNvGrpSpPr/>
        </xdr:nvGrpSpPr>
        <xdr:grpSpPr>
          <a:xfrm>
            <a:off x="0" y="0"/>
            <a:ext cx="3200400" cy="3200400"/>
            <a:chOff x="0" y="0"/>
            <a:chExt cx="2651760" cy="2651760"/>
          </a:xfrm>
        </xdr:grpSpPr>
        <xdr:sp macro="" textlink="">
          <xdr:nvSpPr>
            <xdr:cNvPr id="2031" name="Circle: Hollow 2030">
              <a:extLst>
                <a:ext uri="{FF2B5EF4-FFF2-40B4-BE49-F238E27FC236}">
                  <a16:creationId xmlns:a16="http://schemas.microsoft.com/office/drawing/2014/main" id="{00000000-0008-0000-0200-0000EF07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32" name="Flowchart: Summing Junction 2031">
              <a:extLst>
                <a:ext uri="{FF2B5EF4-FFF2-40B4-BE49-F238E27FC236}">
                  <a16:creationId xmlns:a16="http://schemas.microsoft.com/office/drawing/2014/main" id="{00000000-0008-0000-0200-0000F007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19" name="1">
            <a:extLst>
              <a:ext uri="{FF2B5EF4-FFF2-40B4-BE49-F238E27FC236}">
                <a16:creationId xmlns:a16="http://schemas.microsoft.com/office/drawing/2014/main" id="{00000000-0008-0000-0200-0000E307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0" name="2">
            <a:extLst>
              <a:ext uri="{FF2B5EF4-FFF2-40B4-BE49-F238E27FC236}">
                <a16:creationId xmlns:a16="http://schemas.microsoft.com/office/drawing/2014/main" id="{00000000-0008-0000-0200-0000E407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1" name="3">
            <a:extLst>
              <a:ext uri="{FF2B5EF4-FFF2-40B4-BE49-F238E27FC236}">
                <a16:creationId xmlns:a16="http://schemas.microsoft.com/office/drawing/2014/main" id="{00000000-0008-0000-0200-0000E507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2" name="4">
            <a:extLst>
              <a:ext uri="{FF2B5EF4-FFF2-40B4-BE49-F238E27FC236}">
                <a16:creationId xmlns:a16="http://schemas.microsoft.com/office/drawing/2014/main" id="{00000000-0008-0000-0200-0000E607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3" name="Right Arrow 12">
            <a:extLst>
              <a:ext uri="{FF2B5EF4-FFF2-40B4-BE49-F238E27FC236}">
                <a16:creationId xmlns:a16="http://schemas.microsoft.com/office/drawing/2014/main" id="{00000000-0008-0000-0200-0000E7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4" name="Right Arrow 13">
            <a:extLst>
              <a:ext uri="{FF2B5EF4-FFF2-40B4-BE49-F238E27FC236}">
                <a16:creationId xmlns:a16="http://schemas.microsoft.com/office/drawing/2014/main" id="{00000000-0008-0000-0200-0000E8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5" name="Right Arrow 14">
            <a:extLst>
              <a:ext uri="{FF2B5EF4-FFF2-40B4-BE49-F238E27FC236}">
                <a16:creationId xmlns:a16="http://schemas.microsoft.com/office/drawing/2014/main" id="{00000000-0008-0000-0200-0000E9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6" name="Right Arrow 15">
            <a:extLst>
              <a:ext uri="{FF2B5EF4-FFF2-40B4-BE49-F238E27FC236}">
                <a16:creationId xmlns:a16="http://schemas.microsoft.com/office/drawing/2014/main" id="{00000000-0008-0000-0200-0000EA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7" name="S">
            <a:extLst>
              <a:ext uri="{FF2B5EF4-FFF2-40B4-BE49-F238E27FC236}">
                <a16:creationId xmlns:a16="http://schemas.microsoft.com/office/drawing/2014/main" id="{00000000-0008-0000-0200-0000EB070000}"/>
              </a:ext>
            </a:extLst>
          </xdr:cNvPr>
          <xdr:cNvSpPr txBox="1"/>
        </xdr:nvSpPr>
        <xdr:spPr>
          <a:xfrm>
            <a:off x="1017288" y="2098678"/>
            <a:ext cx="1175042"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28" name="W">
            <a:extLst>
              <a:ext uri="{FF2B5EF4-FFF2-40B4-BE49-F238E27FC236}">
                <a16:creationId xmlns:a16="http://schemas.microsoft.com/office/drawing/2014/main" id="{00000000-0008-0000-0200-0000EC070000}"/>
              </a:ext>
            </a:extLst>
          </xdr:cNvPr>
          <xdr:cNvSpPr txBox="1"/>
        </xdr:nvSpPr>
        <xdr:spPr>
          <a:xfrm flipH="1">
            <a:off x="102104" y="1176037"/>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suffer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36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36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29" name="N">
            <a:extLst>
              <a:ext uri="{FF2B5EF4-FFF2-40B4-BE49-F238E27FC236}">
                <a16:creationId xmlns:a16="http://schemas.microsoft.com/office/drawing/2014/main" id="{00000000-0008-0000-0200-0000ED070000}"/>
              </a:ext>
            </a:extLst>
          </xdr:cNvPr>
          <xdr:cNvSpPr txBox="1"/>
        </xdr:nvSpPr>
        <xdr:spPr>
          <a:xfrm>
            <a:off x="1048580" y="181602"/>
            <a:ext cx="11098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suffer</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30" name="E">
            <a:extLst>
              <a:ext uri="{FF2B5EF4-FFF2-40B4-BE49-F238E27FC236}">
                <a16:creationId xmlns:a16="http://schemas.microsoft.com/office/drawing/2014/main" id="{00000000-0008-0000-0200-0000EE070000}"/>
              </a:ext>
            </a:extLst>
          </xdr:cNvPr>
          <xdr:cNvSpPr txBox="1"/>
        </xdr:nvSpPr>
        <xdr:spPr>
          <a:xfrm flipH="1">
            <a:off x="1865945" y="1153177"/>
            <a:ext cx="1326527"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spc="-7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1335</xdr:row>
      <xdr:rowOff>167640</xdr:rowOff>
    </xdr:from>
    <xdr:to>
      <xdr:col>7</xdr:col>
      <xdr:colOff>237834</xdr:colOff>
      <xdr:row>1354</xdr:row>
      <xdr:rowOff>60960</xdr:rowOff>
    </xdr:to>
    <xdr:grpSp>
      <xdr:nvGrpSpPr>
        <xdr:cNvPr id="2037" name="Group 2036">
          <a:extLst>
            <a:ext uri="{FF2B5EF4-FFF2-40B4-BE49-F238E27FC236}">
              <a16:creationId xmlns:a16="http://schemas.microsoft.com/office/drawing/2014/main" id="{00000000-0008-0000-0200-0000F5070000}"/>
            </a:ext>
          </a:extLst>
        </xdr:cNvPr>
        <xdr:cNvGrpSpPr>
          <a:grpSpLocks noChangeAspect="1"/>
        </xdr:cNvGrpSpPr>
      </xdr:nvGrpSpPr>
      <xdr:grpSpPr>
        <a:xfrm>
          <a:off x="114300" y="264368280"/>
          <a:ext cx="3255354" cy="3223260"/>
          <a:chOff x="-10801" y="0"/>
          <a:chExt cx="3211201" cy="3200400"/>
        </a:xfrm>
      </xdr:grpSpPr>
      <xdr:grpSp>
        <xdr:nvGrpSpPr>
          <xdr:cNvPr id="2038" name="Group 2037">
            <a:extLst>
              <a:ext uri="{FF2B5EF4-FFF2-40B4-BE49-F238E27FC236}">
                <a16:creationId xmlns:a16="http://schemas.microsoft.com/office/drawing/2014/main" id="{00000000-0008-0000-0200-0000F6070000}"/>
              </a:ext>
            </a:extLst>
          </xdr:cNvPr>
          <xdr:cNvGrpSpPr/>
        </xdr:nvGrpSpPr>
        <xdr:grpSpPr>
          <a:xfrm>
            <a:off x="0" y="0"/>
            <a:ext cx="3200400" cy="3200400"/>
            <a:chOff x="0" y="0"/>
            <a:chExt cx="2651760" cy="2651760"/>
          </a:xfrm>
        </xdr:grpSpPr>
        <xdr:sp macro="" textlink="">
          <xdr:nvSpPr>
            <xdr:cNvPr id="2051" name="Circle: Hollow 2050">
              <a:extLst>
                <a:ext uri="{FF2B5EF4-FFF2-40B4-BE49-F238E27FC236}">
                  <a16:creationId xmlns:a16="http://schemas.microsoft.com/office/drawing/2014/main" id="{00000000-0008-0000-0200-00000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52" name="Flowchart: Summing Junction 2051">
              <a:extLst>
                <a:ext uri="{FF2B5EF4-FFF2-40B4-BE49-F238E27FC236}">
                  <a16:creationId xmlns:a16="http://schemas.microsoft.com/office/drawing/2014/main" id="{00000000-0008-0000-0200-00000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39" name="1">
            <a:extLst>
              <a:ext uri="{FF2B5EF4-FFF2-40B4-BE49-F238E27FC236}">
                <a16:creationId xmlns:a16="http://schemas.microsoft.com/office/drawing/2014/main" id="{00000000-0008-0000-0200-0000F707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0" name="2">
            <a:extLst>
              <a:ext uri="{FF2B5EF4-FFF2-40B4-BE49-F238E27FC236}">
                <a16:creationId xmlns:a16="http://schemas.microsoft.com/office/drawing/2014/main" id="{00000000-0008-0000-0200-0000F807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1" name="3">
            <a:extLst>
              <a:ext uri="{FF2B5EF4-FFF2-40B4-BE49-F238E27FC236}">
                <a16:creationId xmlns:a16="http://schemas.microsoft.com/office/drawing/2014/main" id="{00000000-0008-0000-0200-0000F907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2" name="4">
            <a:extLst>
              <a:ext uri="{FF2B5EF4-FFF2-40B4-BE49-F238E27FC236}">
                <a16:creationId xmlns:a16="http://schemas.microsoft.com/office/drawing/2014/main" id="{00000000-0008-0000-0200-0000FA070000}"/>
              </a:ext>
            </a:extLst>
          </xdr:cNvPr>
          <xdr:cNvSpPr txBox="1"/>
        </xdr:nvSpPr>
        <xdr:spPr>
          <a:xfrm flipH="1">
            <a:off x="1057330" y="14681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3" name="Right Arrow 12">
            <a:extLst>
              <a:ext uri="{FF2B5EF4-FFF2-40B4-BE49-F238E27FC236}">
                <a16:creationId xmlns:a16="http://schemas.microsoft.com/office/drawing/2014/main" id="{00000000-0008-0000-0200-0000FB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4" name="Right Arrow 13">
            <a:extLst>
              <a:ext uri="{FF2B5EF4-FFF2-40B4-BE49-F238E27FC236}">
                <a16:creationId xmlns:a16="http://schemas.microsoft.com/office/drawing/2014/main" id="{00000000-0008-0000-0200-0000FC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5" name="Right Arrow 14">
            <a:extLst>
              <a:ext uri="{FF2B5EF4-FFF2-40B4-BE49-F238E27FC236}">
                <a16:creationId xmlns:a16="http://schemas.microsoft.com/office/drawing/2014/main" id="{00000000-0008-0000-0200-0000FD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6" name="Right Arrow 15">
            <a:extLst>
              <a:ext uri="{FF2B5EF4-FFF2-40B4-BE49-F238E27FC236}">
                <a16:creationId xmlns:a16="http://schemas.microsoft.com/office/drawing/2014/main" id="{00000000-0008-0000-0200-0000FE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7" name="S">
            <a:extLst>
              <a:ext uri="{FF2B5EF4-FFF2-40B4-BE49-F238E27FC236}">
                <a16:creationId xmlns:a16="http://schemas.microsoft.com/office/drawing/2014/main" id="{00000000-0008-0000-0200-0000FF070000}"/>
              </a:ext>
            </a:extLst>
          </xdr:cNvPr>
          <xdr:cNvSpPr txBox="1"/>
        </xdr:nvSpPr>
        <xdr:spPr>
          <a:xfrm>
            <a:off x="1139330" y="2009705"/>
            <a:ext cx="927751" cy="1015435"/>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48" name="W">
            <a:extLst>
              <a:ext uri="{FF2B5EF4-FFF2-40B4-BE49-F238E27FC236}">
                <a16:creationId xmlns:a16="http://schemas.microsoft.com/office/drawing/2014/main" id="{00000000-0008-0000-0200-000000080000}"/>
              </a:ext>
            </a:extLst>
          </xdr:cNvPr>
          <xdr:cNvSpPr txBox="1"/>
        </xdr:nvSpPr>
        <xdr:spPr>
          <a:xfrm flipH="1">
            <a:off x="-10801" y="1046110"/>
            <a:ext cx="1268582"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engage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alienate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9" name="N">
            <a:extLst>
              <a:ext uri="{FF2B5EF4-FFF2-40B4-BE49-F238E27FC236}">
                <a16:creationId xmlns:a16="http://schemas.microsoft.com/office/drawing/2014/main" id="{00000000-0008-0000-0200-000001080000}"/>
              </a:ext>
            </a:extLst>
          </xdr:cNvPr>
          <xdr:cNvSpPr txBox="1"/>
        </xdr:nvSpPr>
        <xdr:spPr>
          <a:xfrm>
            <a:off x="1066959" y="184362"/>
            <a:ext cx="1112617"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alienate,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aware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50" name="E">
            <a:extLst>
              <a:ext uri="{FF2B5EF4-FFF2-40B4-BE49-F238E27FC236}">
                <a16:creationId xmlns:a16="http://schemas.microsoft.com/office/drawing/2014/main" id="{00000000-0008-0000-0200-000002080000}"/>
              </a:ext>
            </a:extLst>
          </xdr:cNvPr>
          <xdr:cNvSpPr txBox="1"/>
        </xdr:nvSpPr>
        <xdr:spPr>
          <a:xfrm flipH="1">
            <a:off x="2096265" y="1073028"/>
            <a:ext cx="934608"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aware,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1357</xdr:row>
      <xdr:rowOff>7620</xdr:rowOff>
    </xdr:from>
    <xdr:to>
      <xdr:col>7</xdr:col>
      <xdr:colOff>227038</xdr:colOff>
      <xdr:row>1375</xdr:row>
      <xdr:rowOff>53340</xdr:rowOff>
    </xdr:to>
    <xdr:grpSp>
      <xdr:nvGrpSpPr>
        <xdr:cNvPr id="2053" name="Group 2052">
          <a:extLst>
            <a:ext uri="{FF2B5EF4-FFF2-40B4-BE49-F238E27FC236}">
              <a16:creationId xmlns:a16="http://schemas.microsoft.com/office/drawing/2014/main" id="{00000000-0008-0000-0200-000005080000}"/>
            </a:ext>
          </a:extLst>
        </xdr:cNvPr>
        <xdr:cNvGrpSpPr>
          <a:grpSpLocks noChangeAspect="1"/>
        </xdr:cNvGrpSpPr>
      </xdr:nvGrpSpPr>
      <xdr:grpSpPr>
        <a:xfrm>
          <a:off x="114300" y="268063980"/>
          <a:ext cx="3244558" cy="3200400"/>
          <a:chOff x="0" y="0"/>
          <a:chExt cx="3200400" cy="3200400"/>
        </a:xfrm>
      </xdr:grpSpPr>
      <xdr:grpSp>
        <xdr:nvGrpSpPr>
          <xdr:cNvPr id="2054" name="Group 2053">
            <a:extLst>
              <a:ext uri="{FF2B5EF4-FFF2-40B4-BE49-F238E27FC236}">
                <a16:creationId xmlns:a16="http://schemas.microsoft.com/office/drawing/2014/main" id="{00000000-0008-0000-0200-000006080000}"/>
              </a:ext>
            </a:extLst>
          </xdr:cNvPr>
          <xdr:cNvGrpSpPr/>
        </xdr:nvGrpSpPr>
        <xdr:grpSpPr>
          <a:xfrm>
            <a:off x="0" y="0"/>
            <a:ext cx="3200400" cy="3200400"/>
            <a:chOff x="0" y="0"/>
            <a:chExt cx="2651760" cy="2651760"/>
          </a:xfrm>
        </xdr:grpSpPr>
        <xdr:sp macro="" textlink="">
          <xdr:nvSpPr>
            <xdr:cNvPr id="2067" name="Circle: Hollow 2066">
              <a:extLst>
                <a:ext uri="{FF2B5EF4-FFF2-40B4-BE49-F238E27FC236}">
                  <a16:creationId xmlns:a16="http://schemas.microsoft.com/office/drawing/2014/main" id="{00000000-0008-0000-0200-00001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68" name="Flowchart: Summing Junction 2067">
              <a:extLst>
                <a:ext uri="{FF2B5EF4-FFF2-40B4-BE49-F238E27FC236}">
                  <a16:creationId xmlns:a16="http://schemas.microsoft.com/office/drawing/2014/main" id="{00000000-0008-0000-0200-00001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55" name="1">
            <a:extLst>
              <a:ext uri="{FF2B5EF4-FFF2-40B4-BE49-F238E27FC236}">
                <a16:creationId xmlns:a16="http://schemas.microsoft.com/office/drawing/2014/main" id="{00000000-0008-0000-0200-00000708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56" name="2">
            <a:extLst>
              <a:ext uri="{FF2B5EF4-FFF2-40B4-BE49-F238E27FC236}">
                <a16:creationId xmlns:a16="http://schemas.microsoft.com/office/drawing/2014/main" id="{00000000-0008-0000-0200-00000808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7" name="3">
            <a:extLst>
              <a:ext uri="{FF2B5EF4-FFF2-40B4-BE49-F238E27FC236}">
                <a16:creationId xmlns:a16="http://schemas.microsoft.com/office/drawing/2014/main" id="{00000000-0008-0000-0200-00000908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8" name="4">
            <a:extLst>
              <a:ext uri="{FF2B5EF4-FFF2-40B4-BE49-F238E27FC236}">
                <a16:creationId xmlns:a16="http://schemas.microsoft.com/office/drawing/2014/main" id="{00000000-0008-0000-0200-00000A08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9" name="Right Arrow 12">
            <a:extLst>
              <a:ext uri="{FF2B5EF4-FFF2-40B4-BE49-F238E27FC236}">
                <a16:creationId xmlns:a16="http://schemas.microsoft.com/office/drawing/2014/main" id="{00000000-0008-0000-0200-00000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0" name="Right Arrow 13">
            <a:extLst>
              <a:ext uri="{FF2B5EF4-FFF2-40B4-BE49-F238E27FC236}">
                <a16:creationId xmlns:a16="http://schemas.microsoft.com/office/drawing/2014/main" id="{00000000-0008-0000-0200-00000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1" name="Right Arrow 14">
            <a:extLst>
              <a:ext uri="{FF2B5EF4-FFF2-40B4-BE49-F238E27FC236}">
                <a16:creationId xmlns:a16="http://schemas.microsoft.com/office/drawing/2014/main" id="{00000000-0008-0000-0200-00000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2" name="Right Arrow 15">
            <a:extLst>
              <a:ext uri="{FF2B5EF4-FFF2-40B4-BE49-F238E27FC236}">
                <a16:creationId xmlns:a16="http://schemas.microsoft.com/office/drawing/2014/main" id="{00000000-0008-0000-0200-00000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3" name="S">
            <a:extLst>
              <a:ext uri="{FF2B5EF4-FFF2-40B4-BE49-F238E27FC236}">
                <a16:creationId xmlns:a16="http://schemas.microsoft.com/office/drawing/2014/main" id="{00000000-0008-0000-0200-00000F080000}"/>
              </a:ext>
            </a:extLst>
          </xdr:cNvPr>
          <xdr:cNvSpPr txBox="1"/>
        </xdr:nvSpPr>
        <xdr:spPr>
          <a:xfrm>
            <a:off x="1142083" y="1993766"/>
            <a:ext cx="925452"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4" name="W">
            <a:extLst>
              <a:ext uri="{FF2B5EF4-FFF2-40B4-BE49-F238E27FC236}">
                <a16:creationId xmlns:a16="http://schemas.microsoft.com/office/drawing/2014/main" id="{00000000-0008-0000-0200-000010080000}"/>
              </a:ext>
            </a:extLst>
          </xdr:cNvPr>
          <xdr:cNvSpPr txBox="1"/>
        </xdr:nvSpPr>
        <xdr:spPr>
          <a:xfrm flipH="1">
            <a:off x="51588" y="1101539"/>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alienate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5" name="N">
            <a:extLst>
              <a:ext uri="{FF2B5EF4-FFF2-40B4-BE49-F238E27FC236}">
                <a16:creationId xmlns:a16="http://schemas.microsoft.com/office/drawing/2014/main" id="{00000000-0008-0000-0200-000011080000}"/>
              </a:ext>
            </a:extLst>
          </xdr:cNvPr>
          <xdr:cNvSpPr txBox="1"/>
        </xdr:nvSpPr>
        <xdr:spPr>
          <a:xfrm>
            <a:off x="1048580" y="181602"/>
            <a:ext cx="11098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alienate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aware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6" name="E">
            <a:extLst>
              <a:ext uri="{FF2B5EF4-FFF2-40B4-BE49-F238E27FC236}">
                <a16:creationId xmlns:a16="http://schemas.microsoft.com/office/drawing/2014/main" id="{00000000-0008-0000-0200-000012080000}"/>
              </a:ext>
            </a:extLst>
          </xdr:cNvPr>
          <xdr:cNvSpPr txBox="1"/>
        </xdr:nvSpPr>
        <xdr:spPr>
          <a:xfrm flipH="1">
            <a:off x="2163288" y="1086408"/>
            <a:ext cx="892532"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aware, </a:t>
            </a:r>
          </a:p>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law</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1429</xdr:row>
      <xdr:rowOff>137160</xdr:rowOff>
    </xdr:from>
    <xdr:to>
      <xdr:col>7</xdr:col>
      <xdr:colOff>227038</xdr:colOff>
      <xdr:row>1448</xdr:row>
      <xdr:rowOff>30480</xdr:rowOff>
    </xdr:to>
    <xdr:grpSp>
      <xdr:nvGrpSpPr>
        <xdr:cNvPr id="2069" name="Group 2068">
          <a:extLst>
            <a:ext uri="{FF2B5EF4-FFF2-40B4-BE49-F238E27FC236}">
              <a16:creationId xmlns:a16="http://schemas.microsoft.com/office/drawing/2014/main" id="{00000000-0008-0000-0200-000015080000}"/>
            </a:ext>
          </a:extLst>
        </xdr:cNvPr>
        <xdr:cNvGrpSpPr>
          <a:grpSpLocks noChangeAspect="1"/>
        </xdr:cNvGrpSpPr>
      </xdr:nvGrpSpPr>
      <xdr:grpSpPr>
        <a:xfrm>
          <a:off x="114300" y="281360880"/>
          <a:ext cx="3244558" cy="3223260"/>
          <a:chOff x="0" y="0"/>
          <a:chExt cx="3200400" cy="3200400"/>
        </a:xfrm>
      </xdr:grpSpPr>
      <xdr:grpSp>
        <xdr:nvGrpSpPr>
          <xdr:cNvPr id="2070" name="Group 2069">
            <a:extLst>
              <a:ext uri="{FF2B5EF4-FFF2-40B4-BE49-F238E27FC236}">
                <a16:creationId xmlns:a16="http://schemas.microsoft.com/office/drawing/2014/main" id="{00000000-0008-0000-0200-000016080000}"/>
              </a:ext>
            </a:extLst>
          </xdr:cNvPr>
          <xdr:cNvGrpSpPr/>
        </xdr:nvGrpSpPr>
        <xdr:grpSpPr>
          <a:xfrm>
            <a:off x="0" y="0"/>
            <a:ext cx="3200400" cy="3200400"/>
            <a:chOff x="0" y="0"/>
            <a:chExt cx="2651760" cy="2651760"/>
          </a:xfrm>
        </xdr:grpSpPr>
        <xdr:sp macro="" textlink="">
          <xdr:nvSpPr>
            <xdr:cNvPr id="2083" name="Circle: Hollow 2082">
              <a:extLst>
                <a:ext uri="{FF2B5EF4-FFF2-40B4-BE49-F238E27FC236}">
                  <a16:creationId xmlns:a16="http://schemas.microsoft.com/office/drawing/2014/main" id="{00000000-0008-0000-0200-00002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84" name="Flowchart: Summing Junction 2083">
              <a:extLst>
                <a:ext uri="{FF2B5EF4-FFF2-40B4-BE49-F238E27FC236}">
                  <a16:creationId xmlns:a16="http://schemas.microsoft.com/office/drawing/2014/main" id="{00000000-0008-0000-0200-00002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71" name="1">
            <a:extLst>
              <a:ext uri="{FF2B5EF4-FFF2-40B4-BE49-F238E27FC236}">
                <a16:creationId xmlns:a16="http://schemas.microsoft.com/office/drawing/2014/main" id="{00000000-0008-0000-0200-00001708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2" name="2">
            <a:extLst>
              <a:ext uri="{FF2B5EF4-FFF2-40B4-BE49-F238E27FC236}">
                <a16:creationId xmlns:a16="http://schemas.microsoft.com/office/drawing/2014/main" id="{00000000-0008-0000-0200-00001808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3" name="3">
            <a:extLst>
              <a:ext uri="{FF2B5EF4-FFF2-40B4-BE49-F238E27FC236}">
                <a16:creationId xmlns:a16="http://schemas.microsoft.com/office/drawing/2014/main" id="{00000000-0008-0000-0200-00001908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4" name="4">
            <a:extLst>
              <a:ext uri="{FF2B5EF4-FFF2-40B4-BE49-F238E27FC236}">
                <a16:creationId xmlns:a16="http://schemas.microsoft.com/office/drawing/2014/main" id="{00000000-0008-0000-0200-00001A080000}"/>
              </a:ext>
            </a:extLst>
          </xdr:cNvPr>
          <xdr:cNvSpPr txBox="1"/>
        </xdr:nvSpPr>
        <xdr:spPr>
          <a:xfrm flipH="1">
            <a:off x="1057330" y="20015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5" name="Right Arrow 12">
            <a:extLst>
              <a:ext uri="{FF2B5EF4-FFF2-40B4-BE49-F238E27FC236}">
                <a16:creationId xmlns:a16="http://schemas.microsoft.com/office/drawing/2014/main" id="{00000000-0008-0000-0200-00001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6" name="Right Arrow 13">
            <a:extLst>
              <a:ext uri="{FF2B5EF4-FFF2-40B4-BE49-F238E27FC236}">
                <a16:creationId xmlns:a16="http://schemas.microsoft.com/office/drawing/2014/main" id="{00000000-0008-0000-0200-00001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7" name="Right Arrow 14">
            <a:extLst>
              <a:ext uri="{FF2B5EF4-FFF2-40B4-BE49-F238E27FC236}">
                <a16:creationId xmlns:a16="http://schemas.microsoft.com/office/drawing/2014/main" id="{00000000-0008-0000-0200-00001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8" name="Right Arrow 15">
            <a:extLst>
              <a:ext uri="{FF2B5EF4-FFF2-40B4-BE49-F238E27FC236}">
                <a16:creationId xmlns:a16="http://schemas.microsoft.com/office/drawing/2014/main" id="{00000000-0008-0000-0200-00001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9" name="S">
            <a:extLst>
              <a:ext uri="{FF2B5EF4-FFF2-40B4-BE49-F238E27FC236}">
                <a16:creationId xmlns:a16="http://schemas.microsoft.com/office/drawing/2014/main" id="{00000000-0008-0000-0200-00001F080000}"/>
              </a:ext>
            </a:extLst>
          </xdr:cNvPr>
          <xdr:cNvSpPr txBox="1"/>
        </xdr:nvSpPr>
        <xdr:spPr>
          <a:xfrm>
            <a:off x="843770" y="2061583"/>
            <a:ext cx="1491185" cy="107785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80" name="W">
            <a:extLst>
              <a:ext uri="{FF2B5EF4-FFF2-40B4-BE49-F238E27FC236}">
                <a16:creationId xmlns:a16="http://schemas.microsoft.com/office/drawing/2014/main" id="{00000000-0008-0000-0200-000020080000}"/>
              </a:ext>
            </a:extLst>
          </xdr:cNvPr>
          <xdr:cNvSpPr txBox="1"/>
        </xdr:nvSpPr>
        <xdr:spPr>
          <a:xfrm flipH="1">
            <a:off x="0" y="985764"/>
            <a:ext cx="1268582"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guarded</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defensive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1" name="N">
            <a:extLst>
              <a:ext uri="{FF2B5EF4-FFF2-40B4-BE49-F238E27FC236}">
                <a16:creationId xmlns:a16="http://schemas.microsoft.com/office/drawing/2014/main" id="{00000000-0008-0000-0200-000021080000}"/>
              </a:ext>
            </a:extLst>
          </xdr:cNvPr>
          <xdr:cNvSpPr txBox="1"/>
        </xdr:nvSpPr>
        <xdr:spPr>
          <a:xfrm>
            <a:off x="862042" y="39953"/>
            <a:ext cx="1472164"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defensive,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exaggerate</a:t>
            </a:r>
            <a:endParaRPr lang="en-US" sz="1800" spc="-15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2" name="E">
            <a:extLst>
              <a:ext uri="{FF2B5EF4-FFF2-40B4-BE49-F238E27FC236}">
                <a16:creationId xmlns:a16="http://schemas.microsoft.com/office/drawing/2014/main" id="{00000000-0008-0000-0200-000022080000}"/>
              </a:ext>
            </a:extLst>
          </xdr:cNvPr>
          <xdr:cNvSpPr txBox="1"/>
        </xdr:nvSpPr>
        <xdr:spPr>
          <a:xfrm flipH="1">
            <a:off x="1844564" y="1012372"/>
            <a:ext cx="1339351"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exaggerate,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99060</xdr:colOff>
      <xdr:row>1451</xdr:row>
      <xdr:rowOff>7620</xdr:rowOff>
    </xdr:from>
    <xdr:to>
      <xdr:col>7</xdr:col>
      <xdr:colOff>204178</xdr:colOff>
      <xdr:row>1469</xdr:row>
      <xdr:rowOff>53340</xdr:rowOff>
    </xdr:to>
    <xdr:grpSp>
      <xdr:nvGrpSpPr>
        <xdr:cNvPr id="2085" name="Group 2084">
          <a:extLst>
            <a:ext uri="{FF2B5EF4-FFF2-40B4-BE49-F238E27FC236}">
              <a16:creationId xmlns:a16="http://schemas.microsoft.com/office/drawing/2014/main" id="{00000000-0008-0000-0200-000025080000}"/>
            </a:ext>
          </a:extLst>
        </xdr:cNvPr>
        <xdr:cNvGrpSpPr>
          <a:grpSpLocks noChangeAspect="1"/>
        </xdr:cNvGrpSpPr>
      </xdr:nvGrpSpPr>
      <xdr:grpSpPr>
        <a:xfrm>
          <a:off x="99060" y="285109920"/>
          <a:ext cx="3236938" cy="3200400"/>
          <a:chOff x="0" y="0"/>
          <a:chExt cx="3200400" cy="3200400"/>
        </a:xfrm>
      </xdr:grpSpPr>
      <xdr:grpSp>
        <xdr:nvGrpSpPr>
          <xdr:cNvPr id="2086" name="Group 2085">
            <a:extLst>
              <a:ext uri="{FF2B5EF4-FFF2-40B4-BE49-F238E27FC236}">
                <a16:creationId xmlns:a16="http://schemas.microsoft.com/office/drawing/2014/main" id="{00000000-0008-0000-0200-000026080000}"/>
              </a:ext>
            </a:extLst>
          </xdr:cNvPr>
          <xdr:cNvGrpSpPr/>
        </xdr:nvGrpSpPr>
        <xdr:grpSpPr>
          <a:xfrm>
            <a:off x="0" y="0"/>
            <a:ext cx="3200400" cy="3200400"/>
            <a:chOff x="0" y="0"/>
            <a:chExt cx="2651760" cy="2651760"/>
          </a:xfrm>
        </xdr:grpSpPr>
        <xdr:sp macro="" textlink="">
          <xdr:nvSpPr>
            <xdr:cNvPr id="2099" name="Circle: Hollow 2098">
              <a:extLst>
                <a:ext uri="{FF2B5EF4-FFF2-40B4-BE49-F238E27FC236}">
                  <a16:creationId xmlns:a16="http://schemas.microsoft.com/office/drawing/2014/main" id="{00000000-0008-0000-0200-00003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100" name="Flowchart: Summing Junction 2099">
              <a:extLst>
                <a:ext uri="{FF2B5EF4-FFF2-40B4-BE49-F238E27FC236}">
                  <a16:creationId xmlns:a16="http://schemas.microsoft.com/office/drawing/2014/main" id="{00000000-0008-0000-0200-00003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87" name="1">
            <a:extLst>
              <a:ext uri="{FF2B5EF4-FFF2-40B4-BE49-F238E27FC236}">
                <a16:creationId xmlns:a16="http://schemas.microsoft.com/office/drawing/2014/main" id="{00000000-0008-0000-0200-00002708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8" name="2">
            <a:extLst>
              <a:ext uri="{FF2B5EF4-FFF2-40B4-BE49-F238E27FC236}">
                <a16:creationId xmlns:a16="http://schemas.microsoft.com/office/drawing/2014/main" id="{00000000-0008-0000-0200-00002808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89" name="3">
            <a:extLst>
              <a:ext uri="{FF2B5EF4-FFF2-40B4-BE49-F238E27FC236}">
                <a16:creationId xmlns:a16="http://schemas.microsoft.com/office/drawing/2014/main" id="{00000000-0008-0000-0200-00002908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90" name="4">
            <a:extLst>
              <a:ext uri="{FF2B5EF4-FFF2-40B4-BE49-F238E27FC236}">
                <a16:creationId xmlns:a16="http://schemas.microsoft.com/office/drawing/2014/main" id="{00000000-0008-0000-0200-00002A08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91" name="Right Arrow 12">
            <a:extLst>
              <a:ext uri="{FF2B5EF4-FFF2-40B4-BE49-F238E27FC236}">
                <a16:creationId xmlns:a16="http://schemas.microsoft.com/office/drawing/2014/main" id="{00000000-0008-0000-0200-00002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2" name="Right Arrow 13">
            <a:extLst>
              <a:ext uri="{FF2B5EF4-FFF2-40B4-BE49-F238E27FC236}">
                <a16:creationId xmlns:a16="http://schemas.microsoft.com/office/drawing/2014/main" id="{00000000-0008-0000-0200-00002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3" name="Right Arrow 14">
            <a:extLst>
              <a:ext uri="{FF2B5EF4-FFF2-40B4-BE49-F238E27FC236}">
                <a16:creationId xmlns:a16="http://schemas.microsoft.com/office/drawing/2014/main" id="{00000000-0008-0000-0200-00002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4" name="Right Arrow 15">
            <a:extLst>
              <a:ext uri="{FF2B5EF4-FFF2-40B4-BE49-F238E27FC236}">
                <a16:creationId xmlns:a16="http://schemas.microsoft.com/office/drawing/2014/main" id="{00000000-0008-0000-0200-00002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5" name="S">
            <a:extLst>
              <a:ext uri="{FF2B5EF4-FFF2-40B4-BE49-F238E27FC236}">
                <a16:creationId xmlns:a16="http://schemas.microsoft.com/office/drawing/2014/main" id="{00000000-0008-0000-0200-00002F080000}"/>
              </a:ext>
            </a:extLst>
          </xdr:cNvPr>
          <xdr:cNvSpPr txBox="1"/>
        </xdr:nvSpPr>
        <xdr:spPr>
          <a:xfrm>
            <a:off x="899935" y="2053464"/>
            <a:ext cx="1407181"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6" name="W">
            <a:extLst>
              <a:ext uri="{FF2B5EF4-FFF2-40B4-BE49-F238E27FC236}">
                <a16:creationId xmlns:a16="http://schemas.microsoft.com/office/drawing/2014/main" id="{00000000-0008-0000-0200-000030080000}"/>
              </a:ext>
            </a:extLst>
          </xdr:cNvPr>
          <xdr:cNvSpPr txBox="1"/>
        </xdr:nvSpPr>
        <xdr:spPr>
          <a:xfrm flipH="1">
            <a:off x="75418" y="1038566"/>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defensive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7" name="N">
            <a:extLst>
              <a:ext uri="{FF2B5EF4-FFF2-40B4-BE49-F238E27FC236}">
                <a16:creationId xmlns:a16="http://schemas.microsoft.com/office/drawing/2014/main" id="{00000000-0008-0000-0200-000031080000}"/>
              </a:ext>
            </a:extLst>
          </xdr:cNvPr>
          <xdr:cNvSpPr txBox="1"/>
        </xdr:nvSpPr>
        <xdr:spPr>
          <a:xfrm>
            <a:off x="952504" y="23711"/>
            <a:ext cx="12953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defensive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exaggerate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8" name="E">
            <a:extLst>
              <a:ext uri="{FF2B5EF4-FFF2-40B4-BE49-F238E27FC236}">
                <a16:creationId xmlns:a16="http://schemas.microsoft.com/office/drawing/2014/main" id="{00000000-0008-0000-0200-000032080000}"/>
              </a:ext>
            </a:extLst>
          </xdr:cNvPr>
          <xdr:cNvSpPr txBox="1"/>
        </xdr:nvSpPr>
        <xdr:spPr>
          <a:xfrm flipH="1">
            <a:off x="1867894" y="1000314"/>
            <a:ext cx="1322632"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exaggerate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stereotype</a:t>
            </a:r>
            <a:endParaRPr lang="en-US" sz="1800" spc="-15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19654</xdr:colOff>
      <xdr:row>920</xdr:row>
      <xdr:rowOff>44027</xdr:rowOff>
    </xdr:from>
    <xdr:to>
      <xdr:col>13</xdr:col>
      <xdr:colOff>53340</xdr:colOff>
      <xdr:row>964</xdr:row>
      <xdr:rowOff>22860</xdr:rowOff>
    </xdr:to>
    <xdr:grpSp>
      <xdr:nvGrpSpPr>
        <xdr:cNvPr id="121" name="Group 120">
          <a:extLst>
            <a:ext uri="{FF2B5EF4-FFF2-40B4-BE49-F238E27FC236}">
              <a16:creationId xmlns:a16="http://schemas.microsoft.com/office/drawing/2014/main" id="{00000000-0008-0000-0200-000079000000}"/>
            </a:ext>
          </a:extLst>
        </xdr:cNvPr>
        <xdr:cNvGrpSpPr/>
      </xdr:nvGrpSpPr>
      <xdr:grpSpPr>
        <a:xfrm>
          <a:off x="19654" y="178595867"/>
          <a:ext cx="6183026" cy="7690273"/>
          <a:chOff x="42065" y="186909287"/>
          <a:chExt cx="6096796" cy="7690273"/>
        </a:xfrm>
      </xdr:grpSpPr>
      <xdr:sp macro="" textlink="">
        <xdr:nvSpPr>
          <xdr:cNvPr id="1693" name="TextBox 1692">
            <a:extLst>
              <a:ext uri="{FF2B5EF4-FFF2-40B4-BE49-F238E27FC236}">
                <a16:creationId xmlns:a16="http://schemas.microsoft.com/office/drawing/2014/main" id="{00000000-0008-0000-0200-00009D060000}"/>
              </a:ext>
            </a:extLst>
          </xdr:cNvPr>
          <xdr:cNvSpPr txBox="1"/>
        </xdr:nvSpPr>
        <xdr:spPr>
          <a:xfrm>
            <a:off x="144778" y="186909287"/>
            <a:ext cx="5943600" cy="841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91440" rtlCol="0" anchor="t"/>
          <a:lstStyle/>
          <a:p>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Political elites, such as mainstream media pundits and leading politicians, count on you to trust their generalizations. That keeps them alienated from your specifically painful needs. Kept in pain, you are coerced to oppose others you are to blame for that pain. </a:t>
            </a:r>
            <a:r>
              <a:rPr lang="en-US" sz="1200" spc="-1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Harmony Politics </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empowers you with a need-resolving pain-removing alternative. </a:t>
            </a:r>
          </a:p>
        </xdr:txBody>
      </xdr:sp>
      <xdr:sp macro="" textlink="">
        <xdr:nvSpPr>
          <xdr:cNvPr id="1921" name="TextBox 1920">
            <a:extLst>
              <a:ext uri="{FF2B5EF4-FFF2-40B4-BE49-F238E27FC236}">
                <a16:creationId xmlns:a16="http://schemas.microsoft.com/office/drawing/2014/main" id="{00000000-0008-0000-0200-000081070000}"/>
              </a:ext>
            </a:extLst>
          </xdr:cNvPr>
          <xdr:cNvSpPr txBox="1"/>
        </xdr:nvSpPr>
        <xdr:spPr>
          <a:xfrm>
            <a:off x="129540" y="191856360"/>
            <a:ext cx="2634994" cy="2743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chemeClr val="dk1"/>
                </a:solidFill>
                <a:effectLst/>
                <a:latin typeface="Arial Narrow" panose="020B0606020202030204" pitchFamily="34" charset="0"/>
                <a:ea typeface="+mn-ea"/>
                <a:cs typeface="+mn-cs"/>
              </a:rPr>
              <a:t>1</a:t>
            </a:r>
            <a:r>
              <a:rPr lang="en-US" sz="1200">
                <a:solidFill>
                  <a:schemeClr val="dk1"/>
                </a:solidFill>
                <a:effectLst/>
                <a:latin typeface="Arial Narrow" panose="020B0606020202030204" pitchFamily="34" charset="0"/>
                <a:ea typeface="+mn-ea"/>
                <a:cs typeface="+mn-cs"/>
              </a:rPr>
              <a:t>. The less you rely on political leaders to generalize for relief, the more your specific needs can fully resolve.</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2</a:t>
            </a:r>
            <a:r>
              <a:rPr lang="en-US" sz="1200">
                <a:solidFill>
                  <a:schemeClr val="dk1"/>
                </a:solidFill>
                <a:effectLst/>
                <a:latin typeface="Arial Narrow" panose="020B0606020202030204" pitchFamily="34" charset="0"/>
                <a:ea typeface="+mn-ea"/>
                <a:cs typeface="+mn-cs"/>
              </a:rPr>
              <a:t>. The more your specific needs can fully resolve, the less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effectLst/>
                <a:latin typeface="Arial Narrow" panose="020B0606020202030204" pitchFamily="34" charset="0"/>
                <a:ea typeface="+mn-ea"/>
                <a:cs typeface="+mn-cs"/>
              </a:rPr>
              <a:t>.</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3</a:t>
            </a:r>
            <a:r>
              <a:rPr lang="en-US" sz="1200">
                <a:solidFill>
                  <a:schemeClr val="dk1"/>
                </a:solidFill>
                <a:effectLst/>
                <a:latin typeface="Arial Narrow" panose="020B0606020202030204" pitchFamily="34" charset="0"/>
                <a:ea typeface="+mn-ea"/>
                <a:cs typeface="+mn-cs"/>
              </a:rPr>
              <a:t>. The less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effectLst/>
                <a:latin typeface="Arial Narrow" panose="020B0606020202030204" pitchFamily="34" charset="0"/>
                <a:ea typeface="+mn-ea"/>
                <a:cs typeface="+mn-cs"/>
              </a:rPr>
              <a:t>, the more you can fully focus on your specific needs.</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4</a:t>
            </a:r>
            <a:r>
              <a:rPr lang="en-US" sz="1200">
                <a:solidFill>
                  <a:schemeClr val="dk1"/>
                </a:solidFill>
                <a:effectLst/>
                <a:latin typeface="Arial Narrow" panose="020B0606020202030204" pitchFamily="34" charset="0"/>
                <a:ea typeface="+mn-ea"/>
                <a:cs typeface="+mn-cs"/>
              </a:rPr>
              <a:t>. The more you can fully focus on your specific needs, the less you rely on leaders to generalize for relief.</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5</a:t>
            </a:r>
            <a:r>
              <a:rPr lang="en-US" sz="1200" b="0">
                <a:solidFill>
                  <a:schemeClr val="dk1"/>
                </a:solidFill>
                <a:effectLst/>
                <a:latin typeface="Arial Narrow" panose="020B0606020202030204" pitchFamily="34" charset="0"/>
                <a:ea typeface="+mn-ea"/>
                <a:cs typeface="+mn-cs"/>
              </a:rPr>
              <a:t>. The less you rely on leaders...</a:t>
            </a:r>
            <a:endParaRPr lang="en-US" sz="1200" b="1">
              <a:solidFill>
                <a:schemeClr val="dk1"/>
              </a:solidFill>
              <a:effectLst/>
              <a:latin typeface="Arial Narrow" panose="020B0606020202030204" pitchFamily="34" charset="0"/>
              <a:ea typeface="+mn-ea"/>
              <a:cs typeface="+mn-cs"/>
            </a:endParaRPr>
          </a:p>
        </xdr:txBody>
      </xdr:sp>
      <xdr:sp macro="" textlink="">
        <xdr:nvSpPr>
          <xdr:cNvPr id="1949" name="TextBox 1948">
            <a:extLst>
              <a:ext uri="{FF2B5EF4-FFF2-40B4-BE49-F238E27FC236}">
                <a16:creationId xmlns:a16="http://schemas.microsoft.com/office/drawing/2014/main" id="{00000000-0008-0000-0200-00009D070000}"/>
              </a:ext>
            </a:extLst>
          </xdr:cNvPr>
          <xdr:cNvSpPr txBox="1"/>
        </xdr:nvSpPr>
        <xdr:spPr>
          <a:xfrm>
            <a:off x="3467099" y="188480699"/>
            <a:ext cx="2671762" cy="275082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Arial Narrow" panose="020B0606020202030204" pitchFamily="34" charset="0"/>
              </a:rPr>
              <a:t>1</a:t>
            </a:r>
            <a:r>
              <a:rPr lang="en-US" sz="1200">
                <a:latin typeface="Arial Narrow" panose="020B0606020202030204" pitchFamily="34" charset="0"/>
              </a:rPr>
              <a:t>. The more</a:t>
            </a:r>
            <a:r>
              <a:rPr lang="en-US" sz="1200" baseline="0">
                <a:latin typeface="Arial Narrow" panose="020B0606020202030204" pitchFamily="34" charset="0"/>
              </a:rPr>
              <a:t> </a:t>
            </a:r>
            <a:r>
              <a:rPr lang="en-US" sz="1200">
                <a:solidFill>
                  <a:schemeClr val="dk1"/>
                </a:solidFill>
                <a:latin typeface="Arial Narrow" panose="020B0606020202030204" pitchFamily="34" charset="0"/>
                <a:ea typeface="+mn-ea"/>
                <a:cs typeface="+mn-cs"/>
              </a:rPr>
              <a:t>you rely on political leaders to generalize for relief, the less your specific needs can fully resolve.</a:t>
            </a:r>
          </a:p>
          <a:p>
            <a:endParaRPr lang="en-US" sz="1200">
              <a:solidFill>
                <a:schemeClr val="dk1"/>
              </a:solidFill>
              <a:latin typeface="Arial Narrow" panose="020B0606020202030204" pitchFamily="34" charset="0"/>
              <a:ea typeface="+mn-ea"/>
              <a:cs typeface="+mn-cs"/>
            </a:endParaRPr>
          </a:p>
          <a:p>
            <a:r>
              <a:rPr lang="en-US" sz="1200" b="1" baseline="0">
                <a:latin typeface="Arial Narrow" panose="020B0606020202030204" pitchFamily="34" charset="0"/>
              </a:rPr>
              <a:t>2</a:t>
            </a:r>
            <a:r>
              <a:rPr lang="en-US" sz="1200" baseline="0">
                <a:latin typeface="Arial Narrow" panose="020B0606020202030204" pitchFamily="34" charset="0"/>
              </a:rPr>
              <a:t>. The </a:t>
            </a:r>
            <a:r>
              <a:rPr lang="en-US" sz="1200">
                <a:solidFill>
                  <a:schemeClr val="dk1"/>
                </a:solidFill>
                <a:latin typeface="Arial Narrow" panose="020B0606020202030204" pitchFamily="34" charset="0"/>
                <a:ea typeface="+mn-ea"/>
                <a:cs typeface="+mn-cs"/>
              </a:rPr>
              <a:t>less your specific needs can fully resolve, the more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baseline="0">
                <a:latin typeface="Arial Narrow" panose="020B0606020202030204" pitchFamily="34" charset="0"/>
              </a:rPr>
              <a:t>.</a:t>
            </a:r>
          </a:p>
          <a:p>
            <a:endParaRPr lang="en-US" sz="1200" baseline="0">
              <a:latin typeface="Arial Narrow" panose="020B0606020202030204" pitchFamily="34" charset="0"/>
            </a:endParaRPr>
          </a:p>
          <a:p>
            <a:r>
              <a:rPr lang="en-US" sz="1200" b="1" baseline="0">
                <a:latin typeface="Arial Narrow" panose="020B0606020202030204" pitchFamily="34" charset="0"/>
              </a:rPr>
              <a:t>3</a:t>
            </a:r>
            <a:r>
              <a:rPr lang="en-US" sz="1200" baseline="0">
                <a:latin typeface="Arial Narrow" panose="020B0606020202030204" pitchFamily="34" charset="0"/>
              </a:rPr>
              <a:t>. </a:t>
            </a:r>
            <a:r>
              <a:rPr lang="en-US" sz="1200">
                <a:solidFill>
                  <a:schemeClr val="dk1"/>
                </a:solidFill>
                <a:latin typeface="Arial Narrow" panose="020B0606020202030204" pitchFamily="34" charset="0"/>
                <a:ea typeface="+mn-ea"/>
                <a:cs typeface="+mn-cs"/>
              </a:rPr>
              <a:t>The more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latin typeface="Arial Narrow" panose="020B0606020202030204" pitchFamily="34" charset="0"/>
                <a:ea typeface="+mn-ea"/>
                <a:cs typeface="+mn-cs"/>
              </a:rPr>
              <a:t>, the less you can fuly focus on your specific needs.</a:t>
            </a:r>
          </a:p>
          <a:p>
            <a:endParaRPr lang="en-US" sz="1200">
              <a:solidFill>
                <a:schemeClr val="dk1"/>
              </a:solidFill>
              <a:latin typeface="Arial Narrow" panose="020B0606020202030204" pitchFamily="34" charset="0"/>
              <a:ea typeface="+mn-ea"/>
              <a:cs typeface="+mn-cs"/>
            </a:endParaRPr>
          </a:p>
          <a:p>
            <a:r>
              <a:rPr lang="en-US" sz="1200" b="1" baseline="0">
                <a:latin typeface="Arial Narrow" panose="020B0606020202030204" pitchFamily="34" charset="0"/>
              </a:rPr>
              <a:t>4</a:t>
            </a:r>
            <a:r>
              <a:rPr lang="en-US" sz="1200" baseline="0">
                <a:latin typeface="Arial Narrow" panose="020B0606020202030204" pitchFamily="34" charset="0"/>
              </a:rPr>
              <a:t>. The </a:t>
            </a:r>
            <a:r>
              <a:rPr lang="en-US" sz="1200">
                <a:solidFill>
                  <a:schemeClr val="dk1"/>
                </a:solidFill>
                <a:latin typeface="Arial Narrow" panose="020B0606020202030204" pitchFamily="34" charset="0"/>
                <a:ea typeface="+mn-ea"/>
                <a:cs typeface="+mn-cs"/>
              </a:rPr>
              <a:t>less you can focus on your specific </a:t>
            </a:r>
            <a:r>
              <a:rPr lang="en-US" sz="1200" spc="-20">
                <a:solidFill>
                  <a:schemeClr val="dk1"/>
                </a:solidFill>
                <a:latin typeface="Arial Narrow" panose="020B0606020202030204" pitchFamily="34" charset="0"/>
                <a:ea typeface="+mn-ea"/>
                <a:cs typeface="+mn-cs"/>
              </a:rPr>
              <a:t>needs, the more you rely on</a:t>
            </a:r>
            <a:r>
              <a:rPr lang="en-US" sz="1200" spc="-20" baseline="0">
                <a:solidFill>
                  <a:schemeClr val="dk1"/>
                </a:solidFill>
                <a:latin typeface="Arial Narrow" panose="020B0606020202030204" pitchFamily="34" charset="0"/>
                <a:ea typeface="+mn-ea"/>
                <a:cs typeface="+mn-cs"/>
              </a:rPr>
              <a:t> leaders for relief</a:t>
            </a:r>
            <a:r>
              <a:rPr lang="en-US" sz="1200">
                <a:solidFill>
                  <a:schemeClr val="dk1"/>
                </a:solidFill>
                <a:latin typeface="Arial Narrow" panose="020B0606020202030204" pitchFamily="34" charset="0"/>
                <a:ea typeface="+mn-ea"/>
                <a:cs typeface="+mn-cs"/>
              </a:rPr>
              <a:t>.</a:t>
            </a:r>
          </a:p>
          <a:p>
            <a:endParaRPr lang="en-US" sz="1200">
              <a:solidFill>
                <a:schemeClr val="dk1"/>
              </a:solidFill>
              <a:latin typeface="Arial Narrow" panose="020B0606020202030204" pitchFamily="34" charset="0"/>
              <a:ea typeface="+mn-ea"/>
              <a:cs typeface="+mn-cs"/>
            </a:endParaRPr>
          </a:p>
          <a:p>
            <a:r>
              <a:rPr lang="en-US" sz="1200" b="1">
                <a:solidFill>
                  <a:schemeClr val="dk1"/>
                </a:solidFill>
                <a:latin typeface="Arial Narrow" panose="020B0606020202030204" pitchFamily="34" charset="0"/>
                <a:ea typeface="+mn-ea"/>
                <a:cs typeface="+mn-cs"/>
              </a:rPr>
              <a:t>5</a:t>
            </a:r>
            <a:r>
              <a:rPr lang="en-US" sz="1200" b="0">
                <a:solidFill>
                  <a:schemeClr val="dk1"/>
                </a:solidFill>
                <a:latin typeface="Arial Narrow" panose="020B0606020202030204" pitchFamily="34" charset="0"/>
                <a:ea typeface="+mn-ea"/>
                <a:cs typeface="+mn-cs"/>
              </a:rPr>
              <a:t>. The more you rely on leaders...</a:t>
            </a:r>
            <a:endParaRPr lang="en-US" sz="1200" b="1">
              <a:solidFill>
                <a:schemeClr val="dk1"/>
              </a:solidFill>
              <a:latin typeface="Arial Narrow" panose="020B0606020202030204" pitchFamily="34" charset="0"/>
              <a:ea typeface="+mn-ea"/>
              <a:cs typeface="+mn-cs"/>
            </a:endParaRPr>
          </a:p>
        </xdr:txBody>
      </xdr:sp>
      <xdr:grpSp>
        <xdr:nvGrpSpPr>
          <xdr:cNvPr id="1969" name="Group 1968">
            <a:extLst>
              <a:ext uri="{FF2B5EF4-FFF2-40B4-BE49-F238E27FC236}">
                <a16:creationId xmlns:a16="http://schemas.microsoft.com/office/drawing/2014/main" id="{00000000-0008-0000-0200-0000B1070000}"/>
              </a:ext>
            </a:extLst>
          </xdr:cNvPr>
          <xdr:cNvGrpSpPr/>
        </xdr:nvGrpSpPr>
        <xdr:grpSpPr>
          <a:xfrm>
            <a:off x="190500" y="187947300"/>
            <a:ext cx="3198838" cy="3200400"/>
            <a:chOff x="0" y="0"/>
            <a:chExt cx="3200400" cy="3200400"/>
          </a:xfrm>
        </xdr:grpSpPr>
        <xdr:grpSp>
          <xdr:nvGrpSpPr>
            <xdr:cNvPr id="1970" name="Group 1969">
              <a:extLst>
                <a:ext uri="{FF2B5EF4-FFF2-40B4-BE49-F238E27FC236}">
                  <a16:creationId xmlns:a16="http://schemas.microsoft.com/office/drawing/2014/main" id="{00000000-0008-0000-0200-0000B2070000}"/>
                </a:ext>
              </a:extLst>
            </xdr:cNvPr>
            <xdr:cNvGrpSpPr/>
          </xdr:nvGrpSpPr>
          <xdr:grpSpPr>
            <a:xfrm>
              <a:off x="0" y="0"/>
              <a:ext cx="3200400" cy="3200400"/>
              <a:chOff x="0" y="0"/>
              <a:chExt cx="2651760" cy="2651760"/>
            </a:xfrm>
          </xdr:grpSpPr>
          <xdr:sp macro="" textlink="">
            <xdr:nvSpPr>
              <xdr:cNvPr id="1983" name="Circle: Hollow 1982">
                <a:extLst>
                  <a:ext uri="{FF2B5EF4-FFF2-40B4-BE49-F238E27FC236}">
                    <a16:creationId xmlns:a16="http://schemas.microsoft.com/office/drawing/2014/main" id="{00000000-0008-0000-0200-0000BF070000}"/>
                  </a:ext>
                </a:extLst>
              </xdr:cNvPr>
              <xdr:cNvSpPr/>
            </xdr:nvSpPr>
            <xdr:spPr>
              <a:xfrm>
                <a:off x="0" y="0"/>
                <a:ext cx="2651760" cy="2651760"/>
              </a:xfrm>
              <a:prstGeom prst="donut">
                <a:avLst>
                  <a:gd name="adj" fmla="val 1435"/>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1984" name="Flowchart: Summing Junction 1983">
                <a:extLst>
                  <a:ext uri="{FF2B5EF4-FFF2-40B4-BE49-F238E27FC236}">
                    <a16:creationId xmlns:a16="http://schemas.microsoft.com/office/drawing/2014/main" id="{00000000-0008-0000-0200-0000C0070000}"/>
                  </a:ext>
                </a:extLst>
              </xdr:cNvPr>
              <xdr:cNvSpPr/>
            </xdr:nvSpPr>
            <xdr:spPr>
              <a:xfrm>
                <a:off x="24181" y="22860"/>
                <a:ext cx="2606040" cy="2606040"/>
              </a:xfrm>
              <a:prstGeom prst="flowChartSummingJunction">
                <a:avLst/>
              </a:prstGeom>
              <a:solidFill>
                <a:schemeClr val="bg1"/>
              </a:solidFill>
              <a:ln w="9525"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1971" name="Right Arrow 12">
              <a:extLst>
                <a:ext uri="{FF2B5EF4-FFF2-40B4-BE49-F238E27FC236}">
                  <a16:creationId xmlns:a16="http://schemas.microsoft.com/office/drawing/2014/main" id="{00000000-0008-0000-0200-0000B3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2" name="Right Arrow 13">
              <a:extLst>
                <a:ext uri="{FF2B5EF4-FFF2-40B4-BE49-F238E27FC236}">
                  <a16:creationId xmlns:a16="http://schemas.microsoft.com/office/drawing/2014/main" id="{00000000-0008-0000-0200-0000B4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3" name="Right Arrow 14">
              <a:extLst>
                <a:ext uri="{FF2B5EF4-FFF2-40B4-BE49-F238E27FC236}">
                  <a16:creationId xmlns:a16="http://schemas.microsoft.com/office/drawing/2014/main" id="{00000000-0008-0000-0200-0000B5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4" name="Right Arrow 15">
              <a:extLst>
                <a:ext uri="{FF2B5EF4-FFF2-40B4-BE49-F238E27FC236}">
                  <a16:creationId xmlns:a16="http://schemas.microsoft.com/office/drawing/2014/main" id="{00000000-0008-0000-0200-0000B6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5" name="Text Box 12">
              <a:extLst>
                <a:ext uri="{FF2B5EF4-FFF2-40B4-BE49-F238E27FC236}">
                  <a16:creationId xmlns:a16="http://schemas.microsoft.com/office/drawing/2014/main" id="{00000000-0008-0000-0200-0000B7070000}"/>
                </a:ext>
              </a:extLst>
            </xdr:cNvPr>
            <xdr:cNvSpPr txBox="1"/>
          </xdr:nvSpPr>
          <xdr:spPr>
            <a:xfrm>
              <a:off x="2438148" y="1044652"/>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1</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6" name="Text Box 13">
              <a:extLst>
                <a:ext uri="{FF2B5EF4-FFF2-40B4-BE49-F238E27FC236}">
                  <a16:creationId xmlns:a16="http://schemas.microsoft.com/office/drawing/2014/main" id="{00000000-0008-0000-0200-0000B8070000}"/>
                </a:ext>
              </a:extLst>
            </xdr:cNvPr>
            <xdr:cNvSpPr txBox="1"/>
          </xdr:nvSpPr>
          <xdr:spPr>
            <a:xfrm>
              <a:off x="969838" y="2135062"/>
              <a:ext cx="1219699"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 your specific needs can fully resolve, the more you are kept in pain.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7" name="Text Box 14">
              <a:extLst>
                <a:ext uri="{FF2B5EF4-FFF2-40B4-BE49-F238E27FC236}">
                  <a16:creationId xmlns:a16="http://schemas.microsoft.com/office/drawing/2014/main" id="{00000000-0008-0000-0200-0000B9070000}"/>
                </a:ext>
              </a:extLst>
            </xdr:cNvPr>
            <xdr:cNvSpPr txBox="1"/>
          </xdr:nvSpPr>
          <xdr:spPr>
            <a:xfrm flipH="1">
              <a:off x="1467151" y="1998091"/>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2</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8" name="Text Box 15">
              <a:extLst>
                <a:ext uri="{FF2B5EF4-FFF2-40B4-BE49-F238E27FC236}">
                  <a16:creationId xmlns:a16="http://schemas.microsoft.com/office/drawing/2014/main" id="{00000000-0008-0000-0200-0000BA070000}"/>
                </a:ext>
              </a:extLst>
            </xdr:cNvPr>
            <xdr:cNvSpPr txBox="1"/>
          </xdr:nvSpPr>
          <xdr:spPr>
            <a:xfrm flipH="1">
              <a:off x="172912" y="1116507"/>
              <a:ext cx="951572" cy="1082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more you are kept in pain, the less you can fully focus on your own.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9" name="Text Box 16">
              <a:extLst>
                <a:ext uri="{FF2B5EF4-FFF2-40B4-BE49-F238E27FC236}">
                  <a16:creationId xmlns:a16="http://schemas.microsoft.com/office/drawing/2014/main" id="{00000000-0008-0000-0200-0000BB070000}"/>
                </a:ext>
              </a:extLst>
            </xdr:cNvPr>
            <xdr:cNvSpPr txBox="1"/>
          </xdr:nvSpPr>
          <xdr:spPr>
            <a:xfrm>
              <a:off x="502791" y="1005854"/>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3</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0" name="Text Box 17">
              <a:extLst>
                <a:ext uri="{FF2B5EF4-FFF2-40B4-BE49-F238E27FC236}">
                  <a16:creationId xmlns:a16="http://schemas.microsoft.com/office/drawing/2014/main" id="{00000000-0008-0000-0200-0000BC070000}"/>
                </a:ext>
              </a:extLst>
            </xdr:cNvPr>
            <xdr:cNvSpPr txBox="1"/>
          </xdr:nvSpPr>
          <xdr:spPr>
            <a:xfrm>
              <a:off x="915396" y="304486"/>
              <a:ext cx="1391663" cy="9718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less you can fully focus on your own, the more you rely on leaders to generalize for relief.</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1" name="Text Box 18">
              <a:extLst>
                <a:ext uri="{FF2B5EF4-FFF2-40B4-BE49-F238E27FC236}">
                  <a16:creationId xmlns:a16="http://schemas.microsoft.com/office/drawing/2014/main" id="{00000000-0008-0000-0200-0000BD070000}"/>
                </a:ext>
              </a:extLst>
            </xdr:cNvPr>
            <xdr:cNvSpPr txBox="1"/>
          </xdr:nvSpPr>
          <xdr:spPr>
            <a:xfrm flipH="1">
              <a:off x="1464292" y="106241"/>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4</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2" name="Text Box 19">
              <a:extLst>
                <a:ext uri="{FF2B5EF4-FFF2-40B4-BE49-F238E27FC236}">
                  <a16:creationId xmlns:a16="http://schemas.microsoft.com/office/drawing/2014/main" id="{00000000-0008-0000-0200-0000BE070000}"/>
                </a:ext>
              </a:extLst>
            </xdr:cNvPr>
            <xdr:cNvSpPr txBox="1"/>
          </xdr:nvSpPr>
          <xdr:spPr>
            <a:xfrm flipH="1">
              <a:off x="1947346" y="1197602"/>
              <a:ext cx="1213207" cy="978264"/>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more you rely on leaders to generalize for relief, the less your specific needs can fully resolve.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grpSp>
      <xdr:grpSp>
        <xdr:nvGrpSpPr>
          <xdr:cNvPr id="1985" name="Group 1984">
            <a:extLst>
              <a:ext uri="{FF2B5EF4-FFF2-40B4-BE49-F238E27FC236}">
                <a16:creationId xmlns:a16="http://schemas.microsoft.com/office/drawing/2014/main" id="{00000000-0008-0000-0200-0000C1070000}"/>
              </a:ext>
            </a:extLst>
          </xdr:cNvPr>
          <xdr:cNvGrpSpPr/>
        </xdr:nvGrpSpPr>
        <xdr:grpSpPr>
          <a:xfrm>
            <a:off x="2842260" y="191277240"/>
            <a:ext cx="3214411" cy="3200400"/>
            <a:chOff x="0" y="0"/>
            <a:chExt cx="3215981" cy="3200400"/>
          </a:xfrm>
        </xdr:grpSpPr>
        <xdr:grpSp>
          <xdr:nvGrpSpPr>
            <xdr:cNvPr id="1986" name="Group 1985">
              <a:extLst>
                <a:ext uri="{FF2B5EF4-FFF2-40B4-BE49-F238E27FC236}">
                  <a16:creationId xmlns:a16="http://schemas.microsoft.com/office/drawing/2014/main" id="{00000000-0008-0000-0200-0000C2070000}"/>
                </a:ext>
              </a:extLst>
            </xdr:cNvPr>
            <xdr:cNvGrpSpPr/>
          </xdr:nvGrpSpPr>
          <xdr:grpSpPr>
            <a:xfrm>
              <a:off x="0" y="0"/>
              <a:ext cx="3200400" cy="3200400"/>
              <a:chOff x="0" y="0"/>
              <a:chExt cx="2651760" cy="2651760"/>
            </a:xfrm>
          </xdr:grpSpPr>
          <xdr:sp macro="" textlink="">
            <xdr:nvSpPr>
              <xdr:cNvPr id="1999" name="Circle: Hollow 1998">
                <a:extLst>
                  <a:ext uri="{FF2B5EF4-FFF2-40B4-BE49-F238E27FC236}">
                    <a16:creationId xmlns:a16="http://schemas.microsoft.com/office/drawing/2014/main" id="{00000000-0008-0000-0200-0000CF070000}"/>
                  </a:ext>
                </a:extLst>
              </xdr:cNvPr>
              <xdr:cNvSpPr/>
            </xdr:nvSpPr>
            <xdr:spPr>
              <a:xfrm>
                <a:off x="0" y="0"/>
                <a:ext cx="2651760" cy="2651760"/>
              </a:xfrm>
              <a:prstGeom prst="donut">
                <a:avLst>
                  <a:gd name="adj" fmla="val 1435"/>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00" name="Flowchart: Summing Junction 1999">
                <a:extLst>
                  <a:ext uri="{FF2B5EF4-FFF2-40B4-BE49-F238E27FC236}">
                    <a16:creationId xmlns:a16="http://schemas.microsoft.com/office/drawing/2014/main" id="{00000000-0008-0000-0200-0000D0070000}"/>
                  </a:ext>
                </a:extLst>
              </xdr:cNvPr>
              <xdr:cNvSpPr/>
            </xdr:nvSpPr>
            <xdr:spPr>
              <a:xfrm>
                <a:off x="24181" y="22860"/>
                <a:ext cx="2606040" cy="2606040"/>
              </a:xfrm>
              <a:prstGeom prst="flowChartSummingJunction">
                <a:avLst/>
              </a:prstGeom>
              <a:solidFill>
                <a:schemeClr val="bg1"/>
              </a:solidFill>
              <a:ln w="9525"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1987" name="Right Arrow 12">
              <a:extLst>
                <a:ext uri="{FF2B5EF4-FFF2-40B4-BE49-F238E27FC236}">
                  <a16:creationId xmlns:a16="http://schemas.microsoft.com/office/drawing/2014/main" id="{00000000-0008-0000-0200-0000C3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8" name="Right Arrow 13">
              <a:extLst>
                <a:ext uri="{FF2B5EF4-FFF2-40B4-BE49-F238E27FC236}">
                  <a16:creationId xmlns:a16="http://schemas.microsoft.com/office/drawing/2014/main" id="{00000000-0008-0000-0200-0000C4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9" name="Right Arrow 14">
              <a:extLst>
                <a:ext uri="{FF2B5EF4-FFF2-40B4-BE49-F238E27FC236}">
                  <a16:creationId xmlns:a16="http://schemas.microsoft.com/office/drawing/2014/main" id="{00000000-0008-0000-0200-0000C5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0" name="Right Arrow 15">
              <a:extLst>
                <a:ext uri="{FF2B5EF4-FFF2-40B4-BE49-F238E27FC236}">
                  <a16:creationId xmlns:a16="http://schemas.microsoft.com/office/drawing/2014/main" id="{00000000-0008-0000-0200-0000C6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1" name="Text Box 12">
              <a:extLst>
                <a:ext uri="{FF2B5EF4-FFF2-40B4-BE49-F238E27FC236}">
                  <a16:creationId xmlns:a16="http://schemas.microsoft.com/office/drawing/2014/main" id="{00000000-0008-0000-0200-0000C7070000}"/>
                </a:ext>
              </a:extLst>
            </xdr:cNvPr>
            <xdr:cNvSpPr txBox="1"/>
          </xdr:nvSpPr>
          <xdr:spPr>
            <a:xfrm>
              <a:off x="2425854" y="941123"/>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1</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2" name="Text Box 13">
              <a:extLst>
                <a:ext uri="{FF2B5EF4-FFF2-40B4-BE49-F238E27FC236}">
                  <a16:creationId xmlns:a16="http://schemas.microsoft.com/office/drawing/2014/main" id="{00000000-0008-0000-0200-0000C8070000}"/>
                </a:ext>
              </a:extLst>
            </xdr:cNvPr>
            <xdr:cNvSpPr txBox="1"/>
          </xdr:nvSpPr>
          <xdr:spPr>
            <a:xfrm>
              <a:off x="1003921" y="2135062"/>
              <a:ext cx="1226563"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your specific needs can fully resolve, the less you are kept in pain.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3" name="Text Box 14">
              <a:extLst>
                <a:ext uri="{FF2B5EF4-FFF2-40B4-BE49-F238E27FC236}">
                  <a16:creationId xmlns:a16="http://schemas.microsoft.com/office/drawing/2014/main" id="{00000000-0008-0000-0200-0000C9070000}"/>
                </a:ext>
              </a:extLst>
            </xdr:cNvPr>
            <xdr:cNvSpPr txBox="1"/>
          </xdr:nvSpPr>
          <xdr:spPr>
            <a:xfrm flipH="1">
              <a:off x="1476392" y="1905585"/>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2</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4" name="Text Box 15">
              <a:extLst>
                <a:ext uri="{FF2B5EF4-FFF2-40B4-BE49-F238E27FC236}">
                  <a16:creationId xmlns:a16="http://schemas.microsoft.com/office/drawing/2014/main" id="{00000000-0008-0000-0200-0000CA070000}"/>
                </a:ext>
              </a:extLst>
            </xdr:cNvPr>
            <xdr:cNvSpPr txBox="1"/>
          </xdr:nvSpPr>
          <xdr:spPr>
            <a:xfrm flipH="1">
              <a:off x="47866" y="1228436"/>
              <a:ext cx="1268891"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 you are kept in pain, the more you can fully focus on your own.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5" name="Text Box 16">
              <a:extLst>
                <a:ext uri="{FF2B5EF4-FFF2-40B4-BE49-F238E27FC236}">
                  <a16:creationId xmlns:a16="http://schemas.microsoft.com/office/drawing/2014/main" id="{00000000-0008-0000-0200-0000CB070000}"/>
                </a:ext>
              </a:extLst>
            </xdr:cNvPr>
            <xdr:cNvSpPr txBox="1"/>
          </xdr:nvSpPr>
          <xdr:spPr>
            <a:xfrm>
              <a:off x="502791" y="996618"/>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3</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6" name="Text Box 17">
              <a:extLst>
                <a:ext uri="{FF2B5EF4-FFF2-40B4-BE49-F238E27FC236}">
                  <a16:creationId xmlns:a16="http://schemas.microsoft.com/office/drawing/2014/main" id="{00000000-0008-0000-0200-0000CC070000}"/>
                </a:ext>
              </a:extLst>
            </xdr:cNvPr>
            <xdr:cNvSpPr txBox="1"/>
          </xdr:nvSpPr>
          <xdr:spPr>
            <a:xfrm>
              <a:off x="919289" y="313838"/>
              <a:ext cx="1379518" cy="9718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you can fully focus on your own, the less you rely on leaders to generalize </a:t>
              </a:r>
            </a:p>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for relief.</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7" name="Text Box 18">
              <a:extLst>
                <a:ext uri="{FF2B5EF4-FFF2-40B4-BE49-F238E27FC236}">
                  <a16:creationId xmlns:a16="http://schemas.microsoft.com/office/drawing/2014/main" id="{00000000-0008-0000-0200-0000CD070000}"/>
                </a:ext>
              </a:extLst>
            </xdr:cNvPr>
            <xdr:cNvSpPr txBox="1"/>
          </xdr:nvSpPr>
          <xdr:spPr>
            <a:xfrm flipH="1">
              <a:off x="1464292" y="60061"/>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4</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8" name="Text Box 19">
              <a:extLst>
                <a:ext uri="{FF2B5EF4-FFF2-40B4-BE49-F238E27FC236}">
                  <a16:creationId xmlns:a16="http://schemas.microsoft.com/office/drawing/2014/main" id="{00000000-0008-0000-0200-0000CE070000}"/>
                </a:ext>
              </a:extLst>
            </xdr:cNvPr>
            <xdr:cNvSpPr txBox="1"/>
          </xdr:nvSpPr>
          <xdr:spPr>
            <a:xfrm flipH="1">
              <a:off x="1788402" y="1152236"/>
              <a:ext cx="1427579" cy="900325"/>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1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less you </a:t>
              </a:r>
            </a:p>
            <a:p>
              <a:pPr marL="0" marR="0" algn="ctr">
                <a:lnSpc>
                  <a:spcPts val="1200"/>
                </a:lnSpc>
                <a:spcBef>
                  <a:spcPts val="0"/>
                </a:spcBef>
                <a:spcAft>
                  <a:spcPts val="0"/>
                </a:spcAft>
              </a:pPr>
              <a:r>
                <a:rPr lang="en-US" sz="1100" b="1" kern="1200" spc="-2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rely on leaders to generalize for relief</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the more your specific needs can fully resolve.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grpSp>
      <xdr:sp macro="" textlink="">
        <xdr:nvSpPr>
          <xdr:cNvPr id="2101" name="Rectangle 2100">
            <a:extLst>
              <a:ext uri="{FF2B5EF4-FFF2-40B4-BE49-F238E27FC236}">
                <a16:creationId xmlns:a16="http://schemas.microsoft.com/office/drawing/2014/main" id="{00000000-0008-0000-0200-000035080000}"/>
              </a:ext>
            </a:extLst>
          </xdr:cNvPr>
          <xdr:cNvSpPr/>
        </xdr:nvSpPr>
        <xdr:spPr>
          <a:xfrm>
            <a:off x="42065" y="191246760"/>
            <a:ext cx="2693516" cy="563103"/>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a:solidFill>
                    <a:schemeClr val="accent6">
                      <a:lumMod val="50000"/>
                    </a:schemeClr>
                  </a:solidFill>
                </a:ln>
                <a:solidFill>
                  <a:schemeClr val="accent6">
                    <a:lumMod val="50000"/>
                  </a:schemeClr>
                </a:solidFill>
                <a:latin typeface="Arial Narrow" panose="020B0606020202030204" pitchFamily="34" charset="0"/>
                <a:ea typeface="Times New Roman" panose="02020603050405020304" pitchFamily="18" charset="0"/>
                <a:cs typeface="Times New Roman" panose="02020603050405020304" pitchFamily="18" charset="0"/>
              </a:rPr>
              <a:t>EMPOWERMENT CYCLE </a:t>
            </a:r>
            <a:r>
              <a:rPr lang="en-US" sz="1600">
                <a:ln>
                  <a:solidFill>
                    <a:schemeClr val="accent6">
                      <a:lumMod val="50000"/>
                    </a:schemeClr>
                  </a:solidFill>
                </a:ln>
                <a:solidFill>
                  <a:schemeClr val="accent6">
                    <a:lumMod val="50000"/>
                  </a:schemeClr>
                </a:solidFill>
                <a:latin typeface="Arial Narrow" panose="020B0606020202030204" pitchFamily="34" charset="0"/>
                <a:ea typeface="Times New Roman" panose="02020603050405020304" pitchFamily="18" charset="0"/>
                <a:cs typeface="Times New Roman" panose="02020603050405020304" pitchFamily="18" charset="0"/>
              </a:rPr>
              <a:t>– Harmony Politics</a:t>
            </a:r>
            <a:endParaRPr lang="en-US" sz="1600">
              <a:ln>
                <a:solidFill>
                  <a:schemeClr val="accent6">
                    <a:lumMod val="50000"/>
                  </a:schemeClr>
                </a:solidFill>
              </a:ln>
              <a:solidFill>
                <a:schemeClr val="accent6">
                  <a:lumMod val="50000"/>
                </a:schemeClr>
              </a:solidFill>
              <a:latin typeface="Arial Narrow" panose="020B0606020202030204" pitchFamily="34" charset="0"/>
            </a:endParaRPr>
          </a:p>
        </xdr:txBody>
      </xdr:sp>
      <xdr:sp macro="" textlink="">
        <xdr:nvSpPr>
          <xdr:cNvPr id="2102" name="Rectangle 2101">
            <a:extLst>
              <a:ext uri="{FF2B5EF4-FFF2-40B4-BE49-F238E27FC236}">
                <a16:creationId xmlns:a16="http://schemas.microsoft.com/office/drawing/2014/main" id="{00000000-0008-0000-0200-000036080000}"/>
              </a:ext>
            </a:extLst>
          </xdr:cNvPr>
          <xdr:cNvSpPr/>
        </xdr:nvSpPr>
        <xdr:spPr>
          <a:xfrm>
            <a:off x="3444241" y="187878720"/>
            <a:ext cx="2331720" cy="563103"/>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a:solidFill>
                    <a:srgbClr val="4B1E64"/>
                  </a:solidFill>
                </a:ln>
                <a:solidFill>
                  <a:srgbClr val="4B1E64"/>
                </a:solidFill>
                <a:latin typeface="Arial Narrow" panose="020B0606020202030204" pitchFamily="34" charset="0"/>
                <a:ea typeface="Times New Roman" panose="02020603050405020304" pitchFamily="18" charset="0"/>
                <a:cs typeface="Times New Roman" panose="02020603050405020304" pitchFamily="18" charset="0"/>
              </a:rPr>
              <a:t>POWER ELITE CYCLE </a:t>
            </a:r>
            <a:r>
              <a:rPr lang="en-US" sz="1600">
                <a:ln>
                  <a:solidFill>
                    <a:srgbClr val="4B1E64"/>
                  </a:solidFill>
                </a:ln>
                <a:solidFill>
                  <a:srgbClr val="4B1E64"/>
                </a:solidFill>
                <a:latin typeface="Arial Narrow" panose="020B0606020202030204" pitchFamily="34" charset="0"/>
                <a:ea typeface="Times New Roman" panose="02020603050405020304" pitchFamily="18" charset="0"/>
                <a:cs typeface="Times New Roman" panose="02020603050405020304" pitchFamily="18" charset="0"/>
              </a:rPr>
              <a:t>– divisive politics</a:t>
            </a:r>
            <a:endParaRPr lang="en-US" sz="1600">
              <a:ln>
                <a:solidFill>
                  <a:srgbClr val="4B1E64"/>
                </a:solidFill>
              </a:ln>
              <a:solidFill>
                <a:srgbClr val="4B1E64"/>
              </a:solidFill>
              <a:latin typeface="Arial Narrow" panose="020B0606020202030204" pitchFamily="34" charset="0"/>
            </a:endParaRPr>
          </a:p>
        </xdr:txBody>
      </xdr:sp>
    </xdr:grpSp>
    <xdr:clientData/>
  </xdr:twoCellAnchor>
  <xdr:twoCellAnchor>
    <xdr:from>
      <xdr:col>0</xdr:col>
      <xdr:colOff>99060</xdr:colOff>
      <xdr:row>1191</xdr:row>
      <xdr:rowOff>33308</xdr:rowOff>
    </xdr:from>
    <xdr:to>
      <xdr:col>12</xdr:col>
      <xdr:colOff>419100</xdr:colOff>
      <xdr:row>1208</xdr:row>
      <xdr:rowOff>112954</xdr:rowOff>
    </xdr:to>
    <xdr:grpSp>
      <xdr:nvGrpSpPr>
        <xdr:cNvPr id="2124" name="Polarizing to nonpolarizing politics">
          <a:extLst>
            <a:ext uri="{FF2B5EF4-FFF2-40B4-BE49-F238E27FC236}">
              <a16:creationId xmlns:a16="http://schemas.microsoft.com/office/drawing/2014/main" id="{00000000-0008-0000-0200-00004C080000}"/>
            </a:ext>
          </a:extLst>
        </xdr:cNvPr>
        <xdr:cNvGrpSpPr>
          <a:grpSpLocks noChangeAspect="1"/>
        </xdr:cNvGrpSpPr>
      </xdr:nvGrpSpPr>
      <xdr:grpSpPr>
        <a:xfrm>
          <a:off x="99060" y="238097348"/>
          <a:ext cx="5966460" cy="3066686"/>
          <a:chOff x="6492256" y="68602908"/>
          <a:chExt cx="11781542" cy="5806966"/>
        </a:xfrm>
      </xdr:grpSpPr>
      <xdr:sp macro="" textlink="">
        <xdr:nvSpPr>
          <xdr:cNvPr id="2125" name="Politics is... (enter)">
            <a:extLst>
              <a:ext uri="{FF2B5EF4-FFF2-40B4-BE49-F238E27FC236}">
                <a16:creationId xmlns:a16="http://schemas.microsoft.com/office/drawing/2014/main" id="{00000000-0008-0000-0200-00004D080000}"/>
              </a:ext>
            </a:extLst>
          </xdr:cNvPr>
          <xdr:cNvSpPr/>
        </xdr:nvSpPr>
        <xdr:spPr>
          <a:xfrm>
            <a:off x="6492256" y="68602908"/>
            <a:ext cx="10972802" cy="5806966"/>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spcAft>
                <a:spcPts val="0"/>
              </a:spcAft>
            </a:pPr>
            <a:r>
              <a:rPr lang="en-US" sz="28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Politics is </a:t>
            </a:r>
          </a:p>
          <a:p>
            <a:pPr marL="457200">
              <a:lnSpc>
                <a:spcPts val="4000"/>
              </a:lnSpc>
              <a:spcBef>
                <a:spcPts val="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the art of generalizing </a:t>
            </a:r>
          </a:p>
          <a:p>
            <a:pPr marL="457200">
              <a:lnSpc>
                <a:spcPts val="4000"/>
              </a:lnSpc>
              <a:spcBef>
                <a:spcPts val="1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how to agreeably address needs </a:t>
            </a:r>
          </a:p>
          <a:p>
            <a:pPr marL="457200">
              <a:lnSpc>
                <a:spcPts val="4000"/>
              </a:lnSpc>
              <a:spcBef>
                <a:spcPts val="1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in differing social situations.</a:t>
            </a:r>
            <a:endParaRPr lang="en-US" sz="2400" b="1" cap="none" spc="50">
              <a:ln w="9525" cmpd="sng">
                <a:solidFill>
                  <a:schemeClr val="bg1"/>
                </a:solidFill>
                <a:prstDash val="solid"/>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endParaRPr>
          </a:p>
        </xdr:txBody>
      </xdr:sp>
      <xdr:sp macro="" textlink="">
        <xdr:nvSpPr>
          <xdr:cNvPr id="2126" name="Arrow: Left-Right 2125">
            <a:extLst>
              <a:ext uri="{FF2B5EF4-FFF2-40B4-BE49-F238E27FC236}">
                <a16:creationId xmlns:a16="http://schemas.microsoft.com/office/drawing/2014/main" id="{00000000-0008-0000-0200-00004E080000}"/>
              </a:ext>
            </a:extLst>
          </xdr:cNvPr>
          <xdr:cNvSpPr/>
        </xdr:nvSpPr>
        <xdr:spPr>
          <a:xfrm>
            <a:off x="6923127" y="70466105"/>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7" name="Arrow: Left-Right 2126">
            <a:extLst>
              <a:ext uri="{FF2B5EF4-FFF2-40B4-BE49-F238E27FC236}">
                <a16:creationId xmlns:a16="http://schemas.microsoft.com/office/drawing/2014/main" id="{00000000-0008-0000-0200-00004F080000}"/>
              </a:ext>
            </a:extLst>
          </xdr:cNvPr>
          <xdr:cNvSpPr/>
        </xdr:nvSpPr>
        <xdr:spPr>
          <a:xfrm>
            <a:off x="6923127" y="71783282"/>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8" name="Arrow: Left-Right 2127">
            <a:extLst>
              <a:ext uri="{FF2B5EF4-FFF2-40B4-BE49-F238E27FC236}">
                <a16:creationId xmlns:a16="http://schemas.microsoft.com/office/drawing/2014/main" id="{00000000-0008-0000-0200-000050080000}"/>
              </a:ext>
            </a:extLst>
          </xdr:cNvPr>
          <xdr:cNvSpPr/>
        </xdr:nvSpPr>
        <xdr:spPr>
          <a:xfrm>
            <a:off x="6923127" y="73163745"/>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9" name="generalizing">
            <a:extLst>
              <a:ext uri="{FF2B5EF4-FFF2-40B4-BE49-F238E27FC236}">
                <a16:creationId xmlns:a16="http://schemas.microsoft.com/office/drawing/2014/main" id="{00000000-0008-0000-0200-000051080000}"/>
              </a:ext>
            </a:extLst>
          </xdr:cNvPr>
          <xdr:cNvSpPr/>
        </xdr:nvSpPr>
        <xdr:spPr>
          <a:xfrm>
            <a:off x="6504569" y="70350027"/>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generalizing beliefs</a:t>
            </a:r>
          </a:p>
        </xdr:txBody>
      </xdr:sp>
      <xdr:sp macro="" textlink="">
        <xdr:nvSpPr>
          <xdr:cNvPr id="2130" name="specifics">
            <a:extLst>
              <a:ext uri="{FF2B5EF4-FFF2-40B4-BE49-F238E27FC236}">
                <a16:creationId xmlns:a16="http://schemas.microsoft.com/office/drawing/2014/main" id="{00000000-0008-0000-0200-000052080000}"/>
              </a:ext>
            </a:extLst>
          </xdr:cNvPr>
          <xdr:cNvSpPr/>
        </xdr:nvSpPr>
        <xdr:spPr>
          <a:xfrm>
            <a:off x="12786922" y="70350027"/>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know s</a:t>
            </a: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pecific needs</a:t>
            </a:r>
          </a:p>
        </xdr:txBody>
      </xdr:sp>
      <xdr:sp macro="" textlink="">
        <xdr:nvSpPr>
          <xdr:cNvPr id="2131" name="avoiding">
            <a:extLst>
              <a:ext uri="{FF2B5EF4-FFF2-40B4-BE49-F238E27FC236}">
                <a16:creationId xmlns:a16="http://schemas.microsoft.com/office/drawing/2014/main" id="{00000000-0008-0000-0200-000053080000}"/>
              </a:ext>
            </a:extLst>
          </xdr:cNvPr>
          <xdr:cNvSpPr/>
        </xdr:nvSpPr>
        <xdr:spPr>
          <a:xfrm>
            <a:off x="6504567" y="71663418"/>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alienating norms</a:t>
            </a:r>
            <a:endParaRPr lang="en-US" sz="28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endParaRPr>
          </a:p>
        </xdr:txBody>
      </xdr:sp>
      <xdr:sp macro="" textlink="">
        <xdr:nvSpPr>
          <xdr:cNvPr id="2132" name="engaging">
            <a:extLst>
              <a:ext uri="{FF2B5EF4-FFF2-40B4-BE49-F238E27FC236}">
                <a16:creationId xmlns:a16="http://schemas.microsoft.com/office/drawing/2014/main" id="{00000000-0008-0000-0200-000054080000}"/>
              </a:ext>
            </a:extLst>
          </xdr:cNvPr>
          <xdr:cNvSpPr/>
        </xdr:nvSpPr>
        <xdr:spPr>
          <a:xfrm>
            <a:off x="12741198" y="71663418"/>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engaging impacts</a:t>
            </a:r>
            <a:endParaRPr lang="en-US" sz="28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endParaRPr>
          </a:p>
        </xdr:txBody>
      </xdr:sp>
      <xdr:sp macro="" textlink="">
        <xdr:nvSpPr>
          <xdr:cNvPr id="2133" name="polarizing">
            <a:extLst>
              <a:ext uri="{FF2B5EF4-FFF2-40B4-BE49-F238E27FC236}">
                <a16:creationId xmlns:a16="http://schemas.microsoft.com/office/drawing/2014/main" id="{00000000-0008-0000-0200-000055080000}"/>
              </a:ext>
            </a:extLst>
          </xdr:cNvPr>
          <xdr:cNvSpPr/>
        </xdr:nvSpPr>
        <xdr:spPr>
          <a:xfrm>
            <a:off x="6504567" y="73057816"/>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polarizing priorities</a:t>
            </a:r>
            <a:endParaRPr lang="en-US" sz="28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endParaRPr>
          </a:p>
        </xdr:txBody>
      </xdr:sp>
      <xdr:sp macro="" textlink="">
        <xdr:nvSpPr>
          <xdr:cNvPr id="2134" name="engaging">
            <a:extLst>
              <a:ext uri="{FF2B5EF4-FFF2-40B4-BE49-F238E27FC236}">
                <a16:creationId xmlns:a16="http://schemas.microsoft.com/office/drawing/2014/main" id="{00000000-0008-0000-0200-000056080000}"/>
              </a:ext>
            </a:extLst>
          </xdr:cNvPr>
          <xdr:cNvSpPr/>
        </xdr:nvSpPr>
        <xdr:spPr>
          <a:xfrm>
            <a:off x="12695474" y="73057824"/>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unifying resolution</a:t>
            </a:r>
            <a:endParaRPr lang="en-US" sz="28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endParaRPr>
          </a:p>
        </xdr:txBody>
      </xdr:sp>
    </xdr:grpSp>
    <xdr:clientData/>
  </xdr:twoCellAnchor>
  <xdr:twoCellAnchor>
    <xdr:from>
      <xdr:col>0</xdr:col>
      <xdr:colOff>0</xdr:colOff>
      <xdr:row>1291</xdr:row>
      <xdr:rowOff>196369</xdr:rowOff>
    </xdr:from>
    <xdr:to>
      <xdr:col>14</xdr:col>
      <xdr:colOff>8700</xdr:colOff>
      <xdr:row>1315</xdr:row>
      <xdr:rowOff>31003</xdr:rowOff>
    </xdr:to>
    <xdr:grpSp>
      <xdr:nvGrpSpPr>
        <xdr:cNvPr id="2153" name="Group 2152">
          <a:extLst>
            <a:ext uri="{FF2B5EF4-FFF2-40B4-BE49-F238E27FC236}">
              <a16:creationId xmlns:a16="http://schemas.microsoft.com/office/drawing/2014/main" id="{00000000-0008-0000-0200-000069080000}"/>
            </a:ext>
          </a:extLst>
        </xdr:cNvPr>
        <xdr:cNvGrpSpPr/>
      </xdr:nvGrpSpPr>
      <xdr:grpSpPr>
        <a:xfrm>
          <a:off x="0" y="256251229"/>
          <a:ext cx="6272340" cy="4162794"/>
          <a:chOff x="6185188" y="87475841"/>
          <a:chExt cx="6196140" cy="4155223"/>
        </a:xfrm>
      </xdr:grpSpPr>
      <xdr:sp macro="" textlink="">
        <xdr:nvSpPr>
          <xdr:cNvPr id="2154" name="Freeform: Shape 2153">
            <a:extLst>
              <a:ext uri="{FF2B5EF4-FFF2-40B4-BE49-F238E27FC236}">
                <a16:creationId xmlns:a16="http://schemas.microsoft.com/office/drawing/2014/main" id="{00000000-0008-0000-0200-00006A080000}"/>
              </a:ext>
            </a:extLst>
          </xdr:cNvPr>
          <xdr:cNvSpPr/>
        </xdr:nvSpPr>
        <xdr:spPr>
          <a:xfrm>
            <a:off x="6192807" y="87489908"/>
            <a:ext cx="3097731" cy="2104194"/>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9560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72857 w 3097752"/>
              <a:gd name="connsiteY21" fmla="*/ 2074801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84304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72857 w 3097752"/>
              <a:gd name="connsiteY21" fmla="*/ 2074801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105297"/>
              <a:gd name="connsiteX1" fmla="*/ 3097752 w 3097752"/>
              <a:gd name="connsiteY1" fmla="*/ 0 h 2105297"/>
              <a:gd name="connsiteX2" fmla="*/ 3088339 w 3097752"/>
              <a:gd name="connsiteY2" fmla="*/ 2084304 h 2105297"/>
              <a:gd name="connsiteX3" fmla="*/ 1276573 w 3097752"/>
              <a:gd name="connsiteY3" fmla="*/ 2074878 h 2105297"/>
              <a:gd name="connsiteX4" fmla="*/ 1427179 w 3097752"/>
              <a:gd name="connsiteY4" fmla="*/ 1924272 h 2105297"/>
              <a:gd name="connsiteX5" fmla="*/ 2295859 w 3097752"/>
              <a:gd name="connsiteY5" fmla="*/ 1695672 h 2105297"/>
              <a:gd name="connsiteX6" fmla="*/ 2562559 w 3097752"/>
              <a:gd name="connsiteY6" fmla="*/ 1680432 h 2105297"/>
              <a:gd name="connsiteX7" fmla="*/ 2676859 w 3097752"/>
              <a:gd name="connsiteY7" fmla="*/ 1604232 h 2105297"/>
              <a:gd name="connsiteX8" fmla="*/ 2737819 w 3097752"/>
              <a:gd name="connsiteY8" fmla="*/ 1497552 h 2105297"/>
              <a:gd name="connsiteX9" fmla="*/ 2722579 w 3097752"/>
              <a:gd name="connsiteY9" fmla="*/ 415512 h 2105297"/>
              <a:gd name="connsiteX10" fmla="*/ 2699719 w 3097752"/>
              <a:gd name="connsiteY10" fmla="*/ 270732 h 2105297"/>
              <a:gd name="connsiteX11" fmla="*/ 2509219 w 3097752"/>
              <a:gd name="connsiteY11" fmla="*/ 179292 h 2105297"/>
              <a:gd name="connsiteX12" fmla="*/ 284179 w 3097752"/>
              <a:gd name="connsiteY12" fmla="*/ 186912 h 2105297"/>
              <a:gd name="connsiteX13" fmla="*/ 147019 w 3097752"/>
              <a:gd name="connsiteY13" fmla="*/ 232632 h 2105297"/>
              <a:gd name="connsiteX14" fmla="*/ 55579 w 3097752"/>
              <a:gd name="connsiteY14" fmla="*/ 385032 h 2105297"/>
              <a:gd name="connsiteX15" fmla="*/ 63199 w 3097752"/>
              <a:gd name="connsiteY15" fmla="*/ 1459452 h 2105297"/>
              <a:gd name="connsiteX16" fmla="*/ 93679 w 3097752"/>
              <a:gd name="connsiteY16" fmla="*/ 1566132 h 2105297"/>
              <a:gd name="connsiteX17" fmla="*/ 139399 w 3097752"/>
              <a:gd name="connsiteY17" fmla="*/ 1642332 h 2105297"/>
              <a:gd name="connsiteX18" fmla="*/ 268939 w 3097752"/>
              <a:gd name="connsiteY18" fmla="*/ 1695672 h 2105297"/>
              <a:gd name="connsiteX19" fmla="*/ 1602439 w 3097752"/>
              <a:gd name="connsiteY19" fmla="*/ 1688052 h 2105297"/>
              <a:gd name="connsiteX20" fmla="*/ 1423358 w 3097752"/>
              <a:gd name="connsiteY20" fmla="*/ 1923268 h 2105297"/>
              <a:gd name="connsiteX21" fmla="*/ 1303337 w 3097752"/>
              <a:gd name="connsiteY21" fmla="*/ 2105297 h 2105297"/>
              <a:gd name="connsiteX22" fmla="*/ 1030939 w 3097752"/>
              <a:gd name="connsiteY22" fmla="*/ 2091912 h 2105297"/>
              <a:gd name="connsiteX23" fmla="*/ 1030939 w 3097752"/>
              <a:gd name="connsiteY23" fmla="*/ 1756632 h 2105297"/>
              <a:gd name="connsiteX24" fmla="*/ 817579 w 3097752"/>
              <a:gd name="connsiteY24" fmla="*/ 1954752 h 2105297"/>
              <a:gd name="connsiteX25" fmla="*/ 665179 w 3097752"/>
              <a:gd name="connsiteY25" fmla="*/ 1954752 h 2105297"/>
              <a:gd name="connsiteX26" fmla="*/ 672799 w 3097752"/>
              <a:gd name="connsiteY26" fmla="*/ 2099532 h 2105297"/>
              <a:gd name="connsiteX27" fmla="*/ 2239 w 3097752"/>
              <a:gd name="connsiteY27" fmla="*/ 2099532 h 2105297"/>
              <a:gd name="connsiteX28" fmla="*/ 0 w 3097752"/>
              <a:gd name="connsiteY28" fmla="*/ 7621 h 210529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97752" h="2105297">
                <a:moveTo>
                  <a:pt x="0" y="7621"/>
                </a:moveTo>
                <a:lnTo>
                  <a:pt x="3097752" y="0"/>
                </a:lnTo>
                <a:cubicBezTo>
                  <a:pt x="3094614" y="687144"/>
                  <a:pt x="3091477" y="1397160"/>
                  <a:pt x="3088339" y="2084304"/>
                </a:cubicBezTo>
                <a:lnTo>
                  <a:pt x="1276573" y="2074878"/>
                </a:lnTo>
                <a:lnTo>
                  <a:pt x="1427179" y="1924272"/>
                </a:lnTo>
                <a:lnTo>
                  <a:pt x="2295859" y="1695672"/>
                </a:lnTo>
                <a:lnTo>
                  <a:pt x="2562559" y="1680432"/>
                </a:lnTo>
                <a:lnTo>
                  <a:pt x="2676859" y="1604232"/>
                </a:lnTo>
                <a:lnTo>
                  <a:pt x="2737819" y="1497552"/>
                </a:lnTo>
                <a:lnTo>
                  <a:pt x="2722579" y="415512"/>
                </a:lnTo>
                <a:lnTo>
                  <a:pt x="2699719" y="270732"/>
                </a:lnTo>
                <a:lnTo>
                  <a:pt x="2509219" y="179292"/>
                </a:lnTo>
                <a:lnTo>
                  <a:pt x="284179" y="186912"/>
                </a:lnTo>
                <a:lnTo>
                  <a:pt x="147019" y="232632"/>
                </a:lnTo>
                <a:lnTo>
                  <a:pt x="55579" y="385032"/>
                </a:lnTo>
                <a:lnTo>
                  <a:pt x="63199" y="1459452"/>
                </a:lnTo>
                <a:lnTo>
                  <a:pt x="93679" y="1566132"/>
                </a:lnTo>
                <a:lnTo>
                  <a:pt x="139399" y="1642332"/>
                </a:lnTo>
                <a:lnTo>
                  <a:pt x="268939" y="1695672"/>
                </a:lnTo>
                <a:lnTo>
                  <a:pt x="1602439" y="1688052"/>
                </a:lnTo>
                <a:lnTo>
                  <a:pt x="1423358" y="1923268"/>
                </a:lnTo>
                <a:lnTo>
                  <a:pt x="1303337" y="2105297"/>
                </a:lnTo>
                <a:lnTo>
                  <a:pt x="1030939" y="2091912"/>
                </a:lnTo>
                <a:lnTo>
                  <a:pt x="1030939" y="1756632"/>
                </a:lnTo>
                <a:lnTo>
                  <a:pt x="817579" y="1954752"/>
                </a:lnTo>
                <a:lnTo>
                  <a:pt x="665179" y="1954752"/>
                </a:lnTo>
                <a:lnTo>
                  <a:pt x="672799" y="2099532"/>
                </a:lnTo>
                <a:lnTo>
                  <a:pt x="2239" y="2099532"/>
                </a:lnTo>
                <a:cubicBezTo>
                  <a:pt x="1493" y="1402228"/>
                  <a:pt x="746" y="704925"/>
                  <a:pt x="0" y="7621"/>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5" name="Freeform: Shape 2154">
            <a:extLst>
              <a:ext uri="{FF2B5EF4-FFF2-40B4-BE49-F238E27FC236}">
                <a16:creationId xmlns:a16="http://schemas.microsoft.com/office/drawing/2014/main" id="{00000000-0008-0000-0200-00006B080000}"/>
              </a:ext>
            </a:extLst>
          </xdr:cNvPr>
          <xdr:cNvSpPr/>
        </xdr:nvSpPr>
        <xdr:spPr>
          <a:xfrm flipV="1">
            <a:off x="6185188" y="89533241"/>
            <a:ext cx="3096462" cy="2097823"/>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18598 w 3097752"/>
              <a:gd name="connsiteY20" fmla="*/ 19184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18598 w 3097752"/>
              <a:gd name="connsiteY20" fmla="*/ 1918479 h 2099532"/>
              <a:gd name="connsiteX21" fmla="*/ 1272857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0 h 2091911"/>
              <a:gd name="connsiteX1" fmla="*/ 3097752 w 3097752"/>
              <a:gd name="connsiteY1" fmla="*/ 37804 h 2091911"/>
              <a:gd name="connsiteX2" fmla="*/ 3088339 w 3097752"/>
              <a:gd name="connsiteY2" fmla="*/ 2053811 h 2091911"/>
              <a:gd name="connsiteX3" fmla="*/ 1276573 w 3097752"/>
              <a:gd name="connsiteY3" fmla="*/ 2067257 h 2091911"/>
              <a:gd name="connsiteX4" fmla="*/ 1427179 w 3097752"/>
              <a:gd name="connsiteY4" fmla="*/ 1916651 h 2091911"/>
              <a:gd name="connsiteX5" fmla="*/ 2295859 w 3097752"/>
              <a:gd name="connsiteY5" fmla="*/ 1688051 h 2091911"/>
              <a:gd name="connsiteX6" fmla="*/ 2562559 w 3097752"/>
              <a:gd name="connsiteY6" fmla="*/ 1672811 h 2091911"/>
              <a:gd name="connsiteX7" fmla="*/ 2676859 w 3097752"/>
              <a:gd name="connsiteY7" fmla="*/ 1596611 h 2091911"/>
              <a:gd name="connsiteX8" fmla="*/ 2737819 w 3097752"/>
              <a:gd name="connsiteY8" fmla="*/ 1489931 h 2091911"/>
              <a:gd name="connsiteX9" fmla="*/ 2722579 w 3097752"/>
              <a:gd name="connsiteY9" fmla="*/ 407891 h 2091911"/>
              <a:gd name="connsiteX10" fmla="*/ 2699719 w 3097752"/>
              <a:gd name="connsiteY10" fmla="*/ 263111 h 2091911"/>
              <a:gd name="connsiteX11" fmla="*/ 2509219 w 3097752"/>
              <a:gd name="connsiteY11" fmla="*/ 171671 h 2091911"/>
              <a:gd name="connsiteX12" fmla="*/ 284179 w 3097752"/>
              <a:gd name="connsiteY12" fmla="*/ 179291 h 2091911"/>
              <a:gd name="connsiteX13" fmla="*/ 147019 w 3097752"/>
              <a:gd name="connsiteY13" fmla="*/ 225011 h 2091911"/>
              <a:gd name="connsiteX14" fmla="*/ 55579 w 3097752"/>
              <a:gd name="connsiteY14" fmla="*/ 377411 h 2091911"/>
              <a:gd name="connsiteX15" fmla="*/ 63199 w 3097752"/>
              <a:gd name="connsiteY15" fmla="*/ 1451831 h 2091911"/>
              <a:gd name="connsiteX16" fmla="*/ 93679 w 3097752"/>
              <a:gd name="connsiteY16" fmla="*/ 1558511 h 2091911"/>
              <a:gd name="connsiteX17" fmla="*/ 139399 w 3097752"/>
              <a:gd name="connsiteY17" fmla="*/ 1634711 h 2091911"/>
              <a:gd name="connsiteX18" fmla="*/ 268939 w 3097752"/>
              <a:gd name="connsiteY18" fmla="*/ 1688051 h 2091911"/>
              <a:gd name="connsiteX19" fmla="*/ 1602439 w 3097752"/>
              <a:gd name="connsiteY19" fmla="*/ 1680431 h 2091911"/>
              <a:gd name="connsiteX20" fmla="*/ 1418598 w 3097752"/>
              <a:gd name="connsiteY20" fmla="*/ 1910858 h 2091911"/>
              <a:gd name="connsiteX21" fmla="*/ 1272857 w 3097752"/>
              <a:gd name="connsiteY21" fmla="*/ 2076671 h 2091911"/>
              <a:gd name="connsiteX22" fmla="*/ 1030939 w 3097752"/>
              <a:gd name="connsiteY22" fmla="*/ 2084291 h 2091911"/>
              <a:gd name="connsiteX23" fmla="*/ 1030939 w 3097752"/>
              <a:gd name="connsiteY23" fmla="*/ 1749011 h 2091911"/>
              <a:gd name="connsiteX24" fmla="*/ 817579 w 3097752"/>
              <a:gd name="connsiteY24" fmla="*/ 1947131 h 2091911"/>
              <a:gd name="connsiteX25" fmla="*/ 665179 w 3097752"/>
              <a:gd name="connsiteY25" fmla="*/ 1947131 h 2091911"/>
              <a:gd name="connsiteX26" fmla="*/ 672799 w 3097752"/>
              <a:gd name="connsiteY26" fmla="*/ 2091911 h 2091911"/>
              <a:gd name="connsiteX27" fmla="*/ 2239 w 3097752"/>
              <a:gd name="connsiteY27" fmla="*/ 2091911 h 2091911"/>
              <a:gd name="connsiteX28" fmla="*/ 0 w 3097752"/>
              <a:gd name="connsiteY28" fmla="*/ 0 h 2091911"/>
              <a:gd name="connsiteX0" fmla="*/ 0 w 3097752"/>
              <a:gd name="connsiteY0" fmla="*/ 50 h 2054107"/>
              <a:gd name="connsiteX1" fmla="*/ 3097752 w 3097752"/>
              <a:gd name="connsiteY1" fmla="*/ 0 h 2054107"/>
              <a:gd name="connsiteX2" fmla="*/ 3088339 w 3097752"/>
              <a:gd name="connsiteY2" fmla="*/ 2016007 h 2054107"/>
              <a:gd name="connsiteX3" fmla="*/ 1276573 w 3097752"/>
              <a:gd name="connsiteY3" fmla="*/ 2029453 h 2054107"/>
              <a:gd name="connsiteX4" fmla="*/ 1427179 w 3097752"/>
              <a:gd name="connsiteY4" fmla="*/ 1878847 h 2054107"/>
              <a:gd name="connsiteX5" fmla="*/ 2295859 w 3097752"/>
              <a:gd name="connsiteY5" fmla="*/ 1650247 h 2054107"/>
              <a:gd name="connsiteX6" fmla="*/ 2562559 w 3097752"/>
              <a:gd name="connsiteY6" fmla="*/ 1635007 h 2054107"/>
              <a:gd name="connsiteX7" fmla="*/ 2676859 w 3097752"/>
              <a:gd name="connsiteY7" fmla="*/ 1558807 h 2054107"/>
              <a:gd name="connsiteX8" fmla="*/ 2737819 w 3097752"/>
              <a:gd name="connsiteY8" fmla="*/ 1452127 h 2054107"/>
              <a:gd name="connsiteX9" fmla="*/ 2722579 w 3097752"/>
              <a:gd name="connsiteY9" fmla="*/ 370087 h 2054107"/>
              <a:gd name="connsiteX10" fmla="*/ 2699719 w 3097752"/>
              <a:gd name="connsiteY10" fmla="*/ 225307 h 2054107"/>
              <a:gd name="connsiteX11" fmla="*/ 2509219 w 3097752"/>
              <a:gd name="connsiteY11" fmla="*/ 133867 h 2054107"/>
              <a:gd name="connsiteX12" fmla="*/ 284179 w 3097752"/>
              <a:gd name="connsiteY12" fmla="*/ 141487 h 2054107"/>
              <a:gd name="connsiteX13" fmla="*/ 147019 w 3097752"/>
              <a:gd name="connsiteY13" fmla="*/ 187207 h 2054107"/>
              <a:gd name="connsiteX14" fmla="*/ 55579 w 3097752"/>
              <a:gd name="connsiteY14" fmla="*/ 339607 h 2054107"/>
              <a:gd name="connsiteX15" fmla="*/ 63199 w 3097752"/>
              <a:gd name="connsiteY15" fmla="*/ 1414027 h 2054107"/>
              <a:gd name="connsiteX16" fmla="*/ 93679 w 3097752"/>
              <a:gd name="connsiteY16" fmla="*/ 1520707 h 2054107"/>
              <a:gd name="connsiteX17" fmla="*/ 139399 w 3097752"/>
              <a:gd name="connsiteY17" fmla="*/ 1596907 h 2054107"/>
              <a:gd name="connsiteX18" fmla="*/ 268939 w 3097752"/>
              <a:gd name="connsiteY18" fmla="*/ 1650247 h 2054107"/>
              <a:gd name="connsiteX19" fmla="*/ 1602439 w 3097752"/>
              <a:gd name="connsiteY19" fmla="*/ 1642627 h 2054107"/>
              <a:gd name="connsiteX20" fmla="*/ 1418598 w 3097752"/>
              <a:gd name="connsiteY20" fmla="*/ 1873054 h 2054107"/>
              <a:gd name="connsiteX21" fmla="*/ 1272857 w 3097752"/>
              <a:gd name="connsiteY21" fmla="*/ 2038867 h 2054107"/>
              <a:gd name="connsiteX22" fmla="*/ 1030939 w 3097752"/>
              <a:gd name="connsiteY22" fmla="*/ 2046487 h 2054107"/>
              <a:gd name="connsiteX23" fmla="*/ 1030939 w 3097752"/>
              <a:gd name="connsiteY23" fmla="*/ 1711207 h 2054107"/>
              <a:gd name="connsiteX24" fmla="*/ 817579 w 3097752"/>
              <a:gd name="connsiteY24" fmla="*/ 1909327 h 2054107"/>
              <a:gd name="connsiteX25" fmla="*/ 665179 w 3097752"/>
              <a:gd name="connsiteY25" fmla="*/ 1909327 h 2054107"/>
              <a:gd name="connsiteX26" fmla="*/ 672799 w 3097752"/>
              <a:gd name="connsiteY26" fmla="*/ 2054107 h 2054107"/>
              <a:gd name="connsiteX27" fmla="*/ 2239 w 3097752"/>
              <a:gd name="connsiteY27" fmla="*/ 2054107 h 2054107"/>
              <a:gd name="connsiteX28" fmla="*/ 0 w 3097752"/>
              <a:gd name="connsiteY28" fmla="*/ 50 h 2054107"/>
              <a:gd name="connsiteX0" fmla="*/ 0 w 3112992"/>
              <a:gd name="connsiteY0" fmla="*/ 15192 h 2069249"/>
              <a:gd name="connsiteX1" fmla="*/ 3112992 w 3112992"/>
              <a:gd name="connsiteY1" fmla="*/ 0 h 2069249"/>
              <a:gd name="connsiteX2" fmla="*/ 3088339 w 3112992"/>
              <a:gd name="connsiteY2" fmla="*/ 2031149 h 2069249"/>
              <a:gd name="connsiteX3" fmla="*/ 1276573 w 3112992"/>
              <a:gd name="connsiteY3" fmla="*/ 2044595 h 2069249"/>
              <a:gd name="connsiteX4" fmla="*/ 1427179 w 3112992"/>
              <a:gd name="connsiteY4" fmla="*/ 1893989 h 2069249"/>
              <a:gd name="connsiteX5" fmla="*/ 2295859 w 3112992"/>
              <a:gd name="connsiteY5" fmla="*/ 1665389 h 2069249"/>
              <a:gd name="connsiteX6" fmla="*/ 2562559 w 3112992"/>
              <a:gd name="connsiteY6" fmla="*/ 1650149 h 2069249"/>
              <a:gd name="connsiteX7" fmla="*/ 2676859 w 3112992"/>
              <a:gd name="connsiteY7" fmla="*/ 1573949 h 2069249"/>
              <a:gd name="connsiteX8" fmla="*/ 2737819 w 3112992"/>
              <a:gd name="connsiteY8" fmla="*/ 1467269 h 2069249"/>
              <a:gd name="connsiteX9" fmla="*/ 2722579 w 3112992"/>
              <a:gd name="connsiteY9" fmla="*/ 385229 h 2069249"/>
              <a:gd name="connsiteX10" fmla="*/ 2699719 w 3112992"/>
              <a:gd name="connsiteY10" fmla="*/ 240449 h 2069249"/>
              <a:gd name="connsiteX11" fmla="*/ 2509219 w 3112992"/>
              <a:gd name="connsiteY11" fmla="*/ 149009 h 2069249"/>
              <a:gd name="connsiteX12" fmla="*/ 284179 w 3112992"/>
              <a:gd name="connsiteY12" fmla="*/ 156629 h 2069249"/>
              <a:gd name="connsiteX13" fmla="*/ 147019 w 3112992"/>
              <a:gd name="connsiteY13" fmla="*/ 202349 h 2069249"/>
              <a:gd name="connsiteX14" fmla="*/ 55579 w 3112992"/>
              <a:gd name="connsiteY14" fmla="*/ 354749 h 2069249"/>
              <a:gd name="connsiteX15" fmla="*/ 63199 w 3112992"/>
              <a:gd name="connsiteY15" fmla="*/ 1429169 h 2069249"/>
              <a:gd name="connsiteX16" fmla="*/ 93679 w 3112992"/>
              <a:gd name="connsiteY16" fmla="*/ 1535849 h 2069249"/>
              <a:gd name="connsiteX17" fmla="*/ 139399 w 3112992"/>
              <a:gd name="connsiteY17" fmla="*/ 1612049 h 2069249"/>
              <a:gd name="connsiteX18" fmla="*/ 268939 w 3112992"/>
              <a:gd name="connsiteY18" fmla="*/ 1665389 h 2069249"/>
              <a:gd name="connsiteX19" fmla="*/ 1602439 w 3112992"/>
              <a:gd name="connsiteY19" fmla="*/ 1657769 h 2069249"/>
              <a:gd name="connsiteX20" fmla="*/ 1418598 w 3112992"/>
              <a:gd name="connsiteY20" fmla="*/ 1888196 h 2069249"/>
              <a:gd name="connsiteX21" fmla="*/ 1272857 w 3112992"/>
              <a:gd name="connsiteY21" fmla="*/ 2054009 h 2069249"/>
              <a:gd name="connsiteX22" fmla="*/ 1030939 w 3112992"/>
              <a:gd name="connsiteY22" fmla="*/ 2061629 h 2069249"/>
              <a:gd name="connsiteX23" fmla="*/ 1030939 w 3112992"/>
              <a:gd name="connsiteY23" fmla="*/ 1726349 h 2069249"/>
              <a:gd name="connsiteX24" fmla="*/ 817579 w 3112992"/>
              <a:gd name="connsiteY24" fmla="*/ 1924469 h 2069249"/>
              <a:gd name="connsiteX25" fmla="*/ 665179 w 3112992"/>
              <a:gd name="connsiteY25" fmla="*/ 1924469 h 2069249"/>
              <a:gd name="connsiteX26" fmla="*/ 672799 w 3112992"/>
              <a:gd name="connsiteY26" fmla="*/ 2069249 h 2069249"/>
              <a:gd name="connsiteX27" fmla="*/ 2239 w 3112992"/>
              <a:gd name="connsiteY27" fmla="*/ 2069249 h 2069249"/>
              <a:gd name="connsiteX28" fmla="*/ 0 w 3112992"/>
              <a:gd name="connsiteY28" fmla="*/ 15192 h 2069249"/>
              <a:gd name="connsiteX0" fmla="*/ 0 w 3112992"/>
              <a:gd name="connsiteY0" fmla="*/ 51 h 2069249"/>
              <a:gd name="connsiteX1" fmla="*/ 3112992 w 3112992"/>
              <a:gd name="connsiteY1" fmla="*/ 0 h 2069249"/>
              <a:gd name="connsiteX2" fmla="*/ 3088339 w 3112992"/>
              <a:gd name="connsiteY2" fmla="*/ 2031149 h 2069249"/>
              <a:gd name="connsiteX3" fmla="*/ 1276573 w 3112992"/>
              <a:gd name="connsiteY3" fmla="*/ 2044595 h 2069249"/>
              <a:gd name="connsiteX4" fmla="*/ 1427179 w 3112992"/>
              <a:gd name="connsiteY4" fmla="*/ 1893989 h 2069249"/>
              <a:gd name="connsiteX5" fmla="*/ 2295859 w 3112992"/>
              <a:gd name="connsiteY5" fmla="*/ 1665389 h 2069249"/>
              <a:gd name="connsiteX6" fmla="*/ 2562559 w 3112992"/>
              <a:gd name="connsiteY6" fmla="*/ 1650149 h 2069249"/>
              <a:gd name="connsiteX7" fmla="*/ 2676859 w 3112992"/>
              <a:gd name="connsiteY7" fmla="*/ 1573949 h 2069249"/>
              <a:gd name="connsiteX8" fmla="*/ 2737819 w 3112992"/>
              <a:gd name="connsiteY8" fmla="*/ 1467269 h 2069249"/>
              <a:gd name="connsiteX9" fmla="*/ 2722579 w 3112992"/>
              <a:gd name="connsiteY9" fmla="*/ 385229 h 2069249"/>
              <a:gd name="connsiteX10" fmla="*/ 2699719 w 3112992"/>
              <a:gd name="connsiteY10" fmla="*/ 240449 h 2069249"/>
              <a:gd name="connsiteX11" fmla="*/ 2509219 w 3112992"/>
              <a:gd name="connsiteY11" fmla="*/ 149009 h 2069249"/>
              <a:gd name="connsiteX12" fmla="*/ 284179 w 3112992"/>
              <a:gd name="connsiteY12" fmla="*/ 156629 h 2069249"/>
              <a:gd name="connsiteX13" fmla="*/ 147019 w 3112992"/>
              <a:gd name="connsiteY13" fmla="*/ 202349 h 2069249"/>
              <a:gd name="connsiteX14" fmla="*/ 55579 w 3112992"/>
              <a:gd name="connsiteY14" fmla="*/ 354749 h 2069249"/>
              <a:gd name="connsiteX15" fmla="*/ 63199 w 3112992"/>
              <a:gd name="connsiteY15" fmla="*/ 1429169 h 2069249"/>
              <a:gd name="connsiteX16" fmla="*/ 93679 w 3112992"/>
              <a:gd name="connsiteY16" fmla="*/ 1535849 h 2069249"/>
              <a:gd name="connsiteX17" fmla="*/ 139399 w 3112992"/>
              <a:gd name="connsiteY17" fmla="*/ 1612049 h 2069249"/>
              <a:gd name="connsiteX18" fmla="*/ 268939 w 3112992"/>
              <a:gd name="connsiteY18" fmla="*/ 1665389 h 2069249"/>
              <a:gd name="connsiteX19" fmla="*/ 1602439 w 3112992"/>
              <a:gd name="connsiteY19" fmla="*/ 1657769 h 2069249"/>
              <a:gd name="connsiteX20" fmla="*/ 1418598 w 3112992"/>
              <a:gd name="connsiteY20" fmla="*/ 1888196 h 2069249"/>
              <a:gd name="connsiteX21" fmla="*/ 1272857 w 3112992"/>
              <a:gd name="connsiteY21" fmla="*/ 2054009 h 2069249"/>
              <a:gd name="connsiteX22" fmla="*/ 1030939 w 3112992"/>
              <a:gd name="connsiteY22" fmla="*/ 2061629 h 2069249"/>
              <a:gd name="connsiteX23" fmla="*/ 1030939 w 3112992"/>
              <a:gd name="connsiteY23" fmla="*/ 1726349 h 2069249"/>
              <a:gd name="connsiteX24" fmla="*/ 817579 w 3112992"/>
              <a:gd name="connsiteY24" fmla="*/ 1924469 h 2069249"/>
              <a:gd name="connsiteX25" fmla="*/ 665179 w 3112992"/>
              <a:gd name="connsiteY25" fmla="*/ 1924469 h 2069249"/>
              <a:gd name="connsiteX26" fmla="*/ 672799 w 3112992"/>
              <a:gd name="connsiteY26" fmla="*/ 2069249 h 2069249"/>
              <a:gd name="connsiteX27" fmla="*/ 2239 w 3112992"/>
              <a:gd name="connsiteY27" fmla="*/ 2069249 h 2069249"/>
              <a:gd name="connsiteX28" fmla="*/ 0 w 3112992"/>
              <a:gd name="connsiteY28" fmla="*/ 51 h 2069249"/>
              <a:gd name="connsiteX0" fmla="*/ 0 w 3090132"/>
              <a:gd name="connsiteY0" fmla="*/ 51 h 2069249"/>
              <a:gd name="connsiteX1" fmla="*/ 3090132 w 3090132"/>
              <a:gd name="connsiteY1" fmla="*/ 0 h 2069249"/>
              <a:gd name="connsiteX2" fmla="*/ 3088339 w 3090132"/>
              <a:gd name="connsiteY2" fmla="*/ 2031149 h 2069249"/>
              <a:gd name="connsiteX3" fmla="*/ 1276573 w 3090132"/>
              <a:gd name="connsiteY3" fmla="*/ 2044595 h 2069249"/>
              <a:gd name="connsiteX4" fmla="*/ 1427179 w 3090132"/>
              <a:gd name="connsiteY4" fmla="*/ 1893989 h 2069249"/>
              <a:gd name="connsiteX5" fmla="*/ 2295859 w 3090132"/>
              <a:gd name="connsiteY5" fmla="*/ 1665389 h 2069249"/>
              <a:gd name="connsiteX6" fmla="*/ 2562559 w 3090132"/>
              <a:gd name="connsiteY6" fmla="*/ 1650149 h 2069249"/>
              <a:gd name="connsiteX7" fmla="*/ 2676859 w 3090132"/>
              <a:gd name="connsiteY7" fmla="*/ 1573949 h 2069249"/>
              <a:gd name="connsiteX8" fmla="*/ 2737819 w 3090132"/>
              <a:gd name="connsiteY8" fmla="*/ 1467269 h 2069249"/>
              <a:gd name="connsiteX9" fmla="*/ 2722579 w 3090132"/>
              <a:gd name="connsiteY9" fmla="*/ 385229 h 2069249"/>
              <a:gd name="connsiteX10" fmla="*/ 2699719 w 3090132"/>
              <a:gd name="connsiteY10" fmla="*/ 240449 h 2069249"/>
              <a:gd name="connsiteX11" fmla="*/ 2509219 w 3090132"/>
              <a:gd name="connsiteY11" fmla="*/ 149009 h 2069249"/>
              <a:gd name="connsiteX12" fmla="*/ 284179 w 3090132"/>
              <a:gd name="connsiteY12" fmla="*/ 156629 h 2069249"/>
              <a:gd name="connsiteX13" fmla="*/ 147019 w 3090132"/>
              <a:gd name="connsiteY13" fmla="*/ 202349 h 2069249"/>
              <a:gd name="connsiteX14" fmla="*/ 55579 w 3090132"/>
              <a:gd name="connsiteY14" fmla="*/ 354749 h 2069249"/>
              <a:gd name="connsiteX15" fmla="*/ 63199 w 3090132"/>
              <a:gd name="connsiteY15" fmla="*/ 1429169 h 2069249"/>
              <a:gd name="connsiteX16" fmla="*/ 93679 w 3090132"/>
              <a:gd name="connsiteY16" fmla="*/ 1535849 h 2069249"/>
              <a:gd name="connsiteX17" fmla="*/ 139399 w 3090132"/>
              <a:gd name="connsiteY17" fmla="*/ 1612049 h 2069249"/>
              <a:gd name="connsiteX18" fmla="*/ 268939 w 3090132"/>
              <a:gd name="connsiteY18" fmla="*/ 1665389 h 2069249"/>
              <a:gd name="connsiteX19" fmla="*/ 1602439 w 3090132"/>
              <a:gd name="connsiteY19" fmla="*/ 1657769 h 2069249"/>
              <a:gd name="connsiteX20" fmla="*/ 1418598 w 3090132"/>
              <a:gd name="connsiteY20" fmla="*/ 1888196 h 2069249"/>
              <a:gd name="connsiteX21" fmla="*/ 1272857 w 3090132"/>
              <a:gd name="connsiteY21" fmla="*/ 2054009 h 2069249"/>
              <a:gd name="connsiteX22" fmla="*/ 1030939 w 3090132"/>
              <a:gd name="connsiteY22" fmla="*/ 2061629 h 2069249"/>
              <a:gd name="connsiteX23" fmla="*/ 1030939 w 3090132"/>
              <a:gd name="connsiteY23" fmla="*/ 1726349 h 2069249"/>
              <a:gd name="connsiteX24" fmla="*/ 817579 w 3090132"/>
              <a:gd name="connsiteY24" fmla="*/ 1924469 h 2069249"/>
              <a:gd name="connsiteX25" fmla="*/ 665179 w 3090132"/>
              <a:gd name="connsiteY25" fmla="*/ 1924469 h 2069249"/>
              <a:gd name="connsiteX26" fmla="*/ 672799 w 3090132"/>
              <a:gd name="connsiteY26" fmla="*/ 2069249 h 2069249"/>
              <a:gd name="connsiteX27" fmla="*/ 2239 w 3090132"/>
              <a:gd name="connsiteY27" fmla="*/ 2069249 h 2069249"/>
              <a:gd name="connsiteX28" fmla="*/ 0 w 3090132"/>
              <a:gd name="connsiteY28" fmla="*/ 51 h 2069249"/>
              <a:gd name="connsiteX0" fmla="*/ 0 w 3097752"/>
              <a:gd name="connsiteY0" fmla="*/ 0 h 2091911"/>
              <a:gd name="connsiteX1" fmla="*/ 3097752 w 3097752"/>
              <a:gd name="connsiteY1" fmla="*/ 22662 h 2091911"/>
              <a:gd name="connsiteX2" fmla="*/ 3095959 w 3097752"/>
              <a:gd name="connsiteY2" fmla="*/ 2053811 h 2091911"/>
              <a:gd name="connsiteX3" fmla="*/ 1284193 w 3097752"/>
              <a:gd name="connsiteY3" fmla="*/ 2067257 h 2091911"/>
              <a:gd name="connsiteX4" fmla="*/ 1434799 w 3097752"/>
              <a:gd name="connsiteY4" fmla="*/ 1916651 h 2091911"/>
              <a:gd name="connsiteX5" fmla="*/ 2303479 w 3097752"/>
              <a:gd name="connsiteY5" fmla="*/ 1688051 h 2091911"/>
              <a:gd name="connsiteX6" fmla="*/ 2570179 w 3097752"/>
              <a:gd name="connsiteY6" fmla="*/ 1672811 h 2091911"/>
              <a:gd name="connsiteX7" fmla="*/ 2684479 w 3097752"/>
              <a:gd name="connsiteY7" fmla="*/ 1596611 h 2091911"/>
              <a:gd name="connsiteX8" fmla="*/ 2745439 w 3097752"/>
              <a:gd name="connsiteY8" fmla="*/ 1489931 h 2091911"/>
              <a:gd name="connsiteX9" fmla="*/ 2730199 w 3097752"/>
              <a:gd name="connsiteY9" fmla="*/ 407891 h 2091911"/>
              <a:gd name="connsiteX10" fmla="*/ 2707339 w 3097752"/>
              <a:gd name="connsiteY10" fmla="*/ 263111 h 2091911"/>
              <a:gd name="connsiteX11" fmla="*/ 2516839 w 3097752"/>
              <a:gd name="connsiteY11" fmla="*/ 171671 h 2091911"/>
              <a:gd name="connsiteX12" fmla="*/ 291799 w 3097752"/>
              <a:gd name="connsiteY12" fmla="*/ 179291 h 2091911"/>
              <a:gd name="connsiteX13" fmla="*/ 154639 w 3097752"/>
              <a:gd name="connsiteY13" fmla="*/ 225011 h 2091911"/>
              <a:gd name="connsiteX14" fmla="*/ 63199 w 3097752"/>
              <a:gd name="connsiteY14" fmla="*/ 377411 h 2091911"/>
              <a:gd name="connsiteX15" fmla="*/ 70819 w 3097752"/>
              <a:gd name="connsiteY15" fmla="*/ 1451831 h 2091911"/>
              <a:gd name="connsiteX16" fmla="*/ 101299 w 3097752"/>
              <a:gd name="connsiteY16" fmla="*/ 1558511 h 2091911"/>
              <a:gd name="connsiteX17" fmla="*/ 147019 w 3097752"/>
              <a:gd name="connsiteY17" fmla="*/ 1634711 h 2091911"/>
              <a:gd name="connsiteX18" fmla="*/ 276559 w 3097752"/>
              <a:gd name="connsiteY18" fmla="*/ 1688051 h 2091911"/>
              <a:gd name="connsiteX19" fmla="*/ 1610059 w 3097752"/>
              <a:gd name="connsiteY19" fmla="*/ 1680431 h 2091911"/>
              <a:gd name="connsiteX20" fmla="*/ 1426218 w 3097752"/>
              <a:gd name="connsiteY20" fmla="*/ 1910858 h 2091911"/>
              <a:gd name="connsiteX21" fmla="*/ 1280477 w 3097752"/>
              <a:gd name="connsiteY21" fmla="*/ 2076671 h 2091911"/>
              <a:gd name="connsiteX22" fmla="*/ 1038559 w 3097752"/>
              <a:gd name="connsiteY22" fmla="*/ 2084291 h 2091911"/>
              <a:gd name="connsiteX23" fmla="*/ 1038559 w 3097752"/>
              <a:gd name="connsiteY23" fmla="*/ 1749011 h 2091911"/>
              <a:gd name="connsiteX24" fmla="*/ 825199 w 3097752"/>
              <a:gd name="connsiteY24" fmla="*/ 1947131 h 2091911"/>
              <a:gd name="connsiteX25" fmla="*/ 672799 w 3097752"/>
              <a:gd name="connsiteY25" fmla="*/ 1947131 h 2091911"/>
              <a:gd name="connsiteX26" fmla="*/ 680419 w 3097752"/>
              <a:gd name="connsiteY26" fmla="*/ 2091911 h 2091911"/>
              <a:gd name="connsiteX27" fmla="*/ 9859 w 3097752"/>
              <a:gd name="connsiteY27" fmla="*/ 2091911 h 2091911"/>
              <a:gd name="connsiteX28" fmla="*/ 0 w 3097752"/>
              <a:gd name="connsiteY28" fmla="*/ 0 h 2091911"/>
              <a:gd name="connsiteX0" fmla="*/ 0 w 3096298"/>
              <a:gd name="connsiteY0" fmla="*/ 0 h 2091911"/>
              <a:gd name="connsiteX1" fmla="*/ 3082512 w 3096298"/>
              <a:gd name="connsiteY1" fmla="*/ 7520 h 2091911"/>
              <a:gd name="connsiteX2" fmla="*/ 3095959 w 3096298"/>
              <a:gd name="connsiteY2" fmla="*/ 2053811 h 2091911"/>
              <a:gd name="connsiteX3" fmla="*/ 1284193 w 3096298"/>
              <a:gd name="connsiteY3" fmla="*/ 2067257 h 2091911"/>
              <a:gd name="connsiteX4" fmla="*/ 1434799 w 3096298"/>
              <a:gd name="connsiteY4" fmla="*/ 1916651 h 2091911"/>
              <a:gd name="connsiteX5" fmla="*/ 2303479 w 3096298"/>
              <a:gd name="connsiteY5" fmla="*/ 1688051 h 2091911"/>
              <a:gd name="connsiteX6" fmla="*/ 2570179 w 3096298"/>
              <a:gd name="connsiteY6" fmla="*/ 1672811 h 2091911"/>
              <a:gd name="connsiteX7" fmla="*/ 2684479 w 3096298"/>
              <a:gd name="connsiteY7" fmla="*/ 1596611 h 2091911"/>
              <a:gd name="connsiteX8" fmla="*/ 2745439 w 3096298"/>
              <a:gd name="connsiteY8" fmla="*/ 1489931 h 2091911"/>
              <a:gd name="connsiteX9" fmla="*/ 2730199 w 3096298"/>
              <a:gd name="connsiteY9" fmla="*/ 407891 h 2091911"/>
              <a:gd name="connsiteX10" fmla="*/ 2707339 w 3096298"/>
              <a:gd name="connsiteY10" fmla="*/ 263111 h 2091911"/>
              <a:gd name="connsiteX11" fmla="*/ 2516839 w 3096298"/>
              <a:gd name="connsiteY11" fmla="*/ 171671 h 2091911"/>
              <a:gd name="connsiteX12" fmla="*/ 291799 w 3096298"/>
              <a:gd name="connsiteY12" fmla="*/ 179291 h 2091911"/>
              <a:gd name="connsiteX13" fmla="*/ 154639 w 3096298"/>
              <a:gd name="connsiteY13" fmla="*/ 225011 h 2091911"/>
              <a:gd name="connsiteX14" fmla="*/ 63199 w 3096298"/>
              <a:gd name="connsiteY14" fmla="*/ 377411 h 2091911"/>
              <a:gd name="connsiteX15" fmla="*/ 70819 w 3096298"/>
              <a:gd name="connsiteY15" fmla="*/ 1451831 h 2091911"/>
              <a:gd name="connsiteX16" fmla="*/ 101299 w 3096298"/>
              <a:gd name="connsiteY16" fmla="*/ 1558511 h 2091911"/>
              <a:gd name="connsiteX17" fmla="*/ 147019 w 3096298"/>
              <a:gd name="connsiteY17" fmla="*/ 1634711 h 2091911"/>
              <a:gd name="connsiteX18" fmla="*/ 276559 w 3096298"/>
              <a:gd name="connsiteY18" fmla="*/ 1688051 h 2091911"/>
              <a:gd name="connsiteX19" fmla="*/ 1610059 w 3096298"/>
              <a:gd name="connsiteY19" fmla="*/ 1680431 h 2091911"/>
              <a:gd name="connsiteX20" fmla="*/ 1426218 w 3096298"/>
              <a:gd name="connsiteY20" fmla="*/ 1910858 h 2091911"/>
              <a:gd name="connsiteX21" fmla="*/ 1280477 w 3096298"/>
              <a:gd name="connsiteY21" fmla="*/ 2076671 h 2091911"/>
              <a:gd name="connsiteX22" fmla="*/ 1038559 w 3096298"/>
              <a:gd name="connsiteY22" fmla="*/ 2084291 h 2091911"/>
              <a:gd name="connsiteX23" fmla="*/ 1038559 w 3096298"/>
              <a:gd name="connsiteY23" fmla="*/ 1749011 h 2091911"/>
              <a:gd name="connsiteX24" fmla="*/ 825199 w 3096298"/>
              <a:gd name="connsiteY24" fmla="*/ 1947131 h 2091911"/>
              <a:gd name="connsiteX25" fmla="*/ 672799 w 3096298"/>
              <a:gd name="connsiteY25" fmla="*/ 1947131 h 2091911"/>
              <a:gd name="connsiteX26" fmla="*/ 680419 w 3096298"/>
              <a:gd name="connsiteY26" fmla="*/ 2091911 h 2091911"/>
              <a:gd name="connsiteX27" fmla="*/ 9859 w 3096298"/>
              <a:gd name="connsiteY27" fmla="*/ 2091911 h 2091911"/>
              <a:gd name="connsiteX28" fmla="*/ 0 w 3096298"/>
              <a:gd name="connsiteY28" fmla="*/ 0 h 2091911"/>
              <a:gd name="connsiteX0" fmla="*/ 0 w 3096483"/>
              <a:gd name="connsiteY0" fmla="*/ 0 h 2091911"/>
              <a:gd name="connsiteX1" fmla="*/ 3090132 w 3096483"/>
              <a:gd name="connsiteY1" fmla="*/ 7520 h 2091911"/>
              <a:gd name="connsiteX2" fmla="*/ 3095959 w 3096483"/>
              <a:gd name="connsiteY2" fmla="*/ 2053811 h 2091911"/>
              <a:gd name="connsiteX3" fmla="*/ 1284193 w 3096483"/>
              <a:gd name="connsiteY3" fmla="*/ 2067257 h 2091911"/>
              <a:gd name="connsiteX4" fmla="*/ 1434799 w 3096483"/>
              <a:gd name="connsiteY4" fmla="*/ 1916651 h 2091911"/>
              <a:gd name="connsiteX5" fmla="*/ 2303479 w 3096483"/>
              <a:gd name="connsiteY5" fmla="*/ 1688051 h 2091911"/>
              <a:gd name="connsiteX6" fmla="*/ 2570179 w 3096483"/>
              <a:gd name="connsiteY6" fmla="*/ 1672811 h 2091911"/>
              <a:gd name="connsiteX7" fmla="*/ 2684479 w 3096483"/>
              <a:gd name="connsiteY7" fmla="*/ 1596611 h 2091911"/>
              <a:gd name="connsiteX8" fmla="*/ 2745439 w 3096483"/>
              <a:gd name="connsiteY8" fmla="*/ 1489931 h 2091911"/>
              <a:gd name="connsiteX9" fmla="*/ 2730199 w 3096483"/>
              <a:gd name="connsiteY9" fmla="*/ 407891 h 2091911"/>
              <a:gd name="connsiteX10" fmla="*/ 2707339 w 3096483"/>
              <a:gd name="connsiteY10" fmla="*/ 263111 h 2091911"/>
              <a:gd name="connsiteX11" fmla="*/ 2516839 w 3096483"/>
              <a:gd name="connsiteY11" fmla="*/ 171671 h 2091911"/>
              <a:gd name="connsiteX12" fmla="*/ 291799 w 3096483"/>
              <a:gd name="connsiteY12" fmla="*/ 179291 h 2091911"/>
              <a:gd name="connsiteX13" fmla="*/ 154639 w 3096483"/>
              <a:gd name="connsiteY13" fmla="*/ 225011 h 2091911"/>
              <a:gd name="connsiteX14" fmla="*/ 63199 w 3096483"/>
              <a:gd name="connsiteY14" fmla="*/ 377411 h 2091911"/>
              <a:gd name="connsiteX15" fmla="*/ 70819 w 3096483"/>
              <a:gd name="connsiteY15" fmla="*/ 1451831 h 2091911"/>
              <a:gd name="connsiteX16" fmla="*/ 101299 w 3096483"/>
              <a:gd name="connsiteY16" fmla="*/ 1558511 h 2091911"/>
              <a:gd name="connsiteX17" fmla="*/ 147019 w 3096483"/>
              <a:gd name="connsiteY17" fmla="*/ 1634711 h 2091911"/>
              <a:gd name="connsiteX18" fmla="*/ 276559 w 3096483"/>
              <a:gd name="connsiteY18" fmla="*/ 1688051 h 2091911"/>
              <a:gd name="connsiteX19" fmla="*/ 1610059 w 3096483"/>
              <a:gd name="connsiteY19" fmla="*/ 1680431 h 2091911"/>
              <a:gd name="connsiteX20" fmla="*/ 1426218 w 3096483"/>
              <a:gd name="connsiteY20" fmla="*/ 1910858 h 2091911"/>
              <a:gd name="connsiteX21" fmla="*/ 1280477 w 3096483"/>
              <a:gd name="connsiteY21" fmla="*/ 2076671 h 2091911"/>
              <a:gd name="connsiteX22" fmla="*/ 1038559 w 3096483"/>
              <a:gd name="connsiteY22" fmla="*/ 2084291 h 2091911"/>
              <a:gd name="connsiteX23" fmla="*/ 1038559 w 3096483"/>
              <a:gd name="connsiteY23" fmla="*/ 1749011 h 2091911"/>
              <a:gd name="connsiteX24" fmla="*/ 825199 w 3096483"/>
              <a:gd name="connsiteY24" fmla="*/ 1947131 h 2091911"/>
              <a:gd name="connsiteX25" fmla="*/ 672799 w 3096483"/>
              <a:gd name="connsiteY25" fmla="*/ 1947131 h 2091911"/>
              <a:gd name="connsiteX26" fmla="*/ 680419 w 3096483"/>
              <a:gd name="connsiteY26" fmla="*/ 2091911 h 2091911"/>
              <a:gd name="connsiteX27" fmla="*/ 9859 w 3096483"/>
              <a:gd name="connsiteY27" fmla="*/ 2091911 h 2091911"/>
              <a:gd name="connsiteX28" fmla="*/ 0 w 3096483"/>
              <a:gd name="connsiteY28" fmla="*/ 0 h 209191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96483" h="2091911">
                <a:moveTo>
                  <a:pt x="0" y="0"/>
                </a:moveTo>
                <a:lnTo>
                  <a:pt x="3090132" y="7520"/>
                </a:lnTo>
                <a:cubicBezTo>
                  <a:pt x="3086994" y="694664"/>
                  <a:pt x="3099097" y="1366667"/>
                  <a:pt x="3095959" y="2053811"/>
                </a:cubicBezTo>
                <a:lnTo>
                  <a:pt x="1284193" y="2067257"/>
                </a:lnTo>
                <a:lnTo>
                  <a:pt x="1434799" y="1916651"/>
                </a:lnTo>
                <a:lnTo>
                  <a:pt x="2303479" y="1688051"/>
                </a:lnTo>
                <a:lnTo>
                  <a:pt x="2570179" y="1672811"/>
                </a:lnTo>
                <a:lnTo>
                  <a:pt x="2684479" y="1596611"/>
                </a:lnTo>
                <a:lnTo>
                  <a:pt x="2745439" y="1489931"/>
                </a:lnTo>
                <a:lnTo>
                  <a:pt x="2730199" y="407891"/>
                </a:lnTo>
                <a:lnTo>
                  <a:pt x="2707339" y="263111"/>
                </a:lnTo>
                <a:lnTo>
                  <a:pt x="2516839" y="171671"/>
                </a:lnTo>
                <a:lnTo>
                  <a:pt x="291799" y="179291"/>
                </a:lnTo>
                <a:lnTo>
                  <a:pt x="154639" y="225011"/>
                </a:lnTo>
                <a:lnTo>
                  <a:pt x="63199" y="377411"/>
                </a:lnTo>
                <a:lnTo>
                  <a:pt x="70819" y="1451831"/>
                </a:lnTo>
                <a:lnTo>
                  <a:pt x="101299" y="1558511"/>
                </a:lnTo>
                <a:lnTo>
                  <a:pt x="147019" y="1634711"/>
                </a:lnTo>
                <a:lnTo>
                  <a:pt x="276559" y="1688051"/>
                </a:lnTo>
                <a:lnTo>
                  <a:pt x="1610059" y="1680431"/>
                </a:lnTo>
                <a:lnTo>
                  <a:pt x="1426218" y="1910858"/>
                </a:lnTo>
                <a:lnTo>
                  <a:pt x="1280477" y="2076671"/>
                </a:lnTo>
                <a:lnTo>
                  <a:pt x="1038559" y="2084291"/>
                </a:lnTo>
                <a:lnTo>
                  <a:pt x="1038559" y="1749011"/>
                </a:lnTo>
                <a:lnTo>
                  <a:pt x="825199" y="1947131"/>
                </a:lnTo>
                <a:lnTo>
                  <a:pt x="672799" y="1947131"/>
                </a:lnTo>
                <a:lnTo>
                  <a:pt x="680419" y="2091911"/>
                </a:lnTo>
                <a:lnTo>
                  <a:pt x="9859" y="2091911"/>
                </a:lnTo>
                <a:cubicBezTo>
                  <a:pt x="9113" y="1394607"/>
                  <a:pt x="746" y="697304"/>
                  <a:pt x="0" y="0"/>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6" name="Freeform: Shape 2155">
            <a:extLst>
              <a:ext uri="{FF2B5EF4-FFF2-40B4-BE49-F238E27FC236}">
                <a16:creationId xmlns:a16="http://schemas.microsoft.com/office/drawing/2014/main" id="{00000000-0008-0000-0200-00006C080000}"/>
              </a:ext>
            </a:extLst>
          </xdr:cNvPr>
          <xdr:cNvSpPr/>
        </xdr:nvSpPr>
        <xdr:spPr>
          <a:xfrm flipH="1">
            <a:off x="9279183" y="87475841"/>
            <a:ext cx="3086905" cy="2122464"/>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25238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77656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40 w 3097752"/>
              <a:gd name="connsiteY2" fmla="*/ 207667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77656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0 h 2122390"/>
              <a:gd name="connsiteX1" fmla="*/ 3097752 w 3097752"/>
              <a:gd name="connsiteY1" fmla="*/ 22858 h 2122390"/>
              <a:gd name="connsiteX2" fmla="*/ 3088340 w 3097752"/>
              <a:gd name="connsiteY2" fmla="*/ 2099530 h 2122390"/>
              <a:gd name="connsiteX3" fmla="*/ 1276573 w 3097752"/>
              <a:gd name="connsiteY3" fmla="*/ 2097736 h 2122390"/>
              <a:gd name="connsiteX4" fmla="*/ 1379526 w 3097752"/>
              <a:gd name="connsiteY4" fmla="*/ 1947130 h 2122390"/>
              <a:gd name="connsiteX5" fmla="*/ 2295859 w 3097752"/>
              <a:gd name="connsiteY5" fmla="*/ 1718530 h 2122390"/>
              <a:gd name="connsiteX6" fmla="*/ 2562559 w 3097752"/>
              <a:gd name="connsiteY6" fmla="*/ 1703290 h 2122390"/>
              <a:gd name="connsiteX7" fmla="*/ 2676859 w 3097752"/>
              <a:gd name="connsiteY7" fmla="*/ 1627090 h 2122390"/>
              <a:gd name="connsiteX8" fmla="*/ 2737819 w 3097752"/>
              <a:gd name="connsiteY8" fmla="*/ 1520410 h 2122390"/>
              <a:gd name="connsiteX9" fmla="*/ 2722579 w 3097752"/>
              <a:gd name="connsiteY9" fmla="*/ 438370 h 2122390"/>
              <a:gd name="connsiteX10" fmla="*/ 2699719 w 3097752"/>
              <a:gd name="connsiteY10" fmla="*/ 293590 h 2122390"/>
              <a:gd name="connsiteX11" fmla="*/ 2509219 w 3097752"/>
              <a:gd name="connsiteY11" fmla="*/ 202150 h 2122390"/>
              <a:gd name="connsiteX12" fmla="*/ 284179 w 3097752"/>
              <a:gd name="connsiteY12" fmla="*/ 209770 h 2122390"/>
              <a:gd name="connsiteX13" fmla="*/ 147019 w 3097752"/>
              <a:gd name="connsiteY13" fmla="*/ 255490 h 2122390"/>
              <a:gd name="connsiteX14" fmla="*/ 55579 w 3097752"/>
              <a:gd name="connsiteY14" fmla="*/ 407890 h 2122390"/>
              <a:gd name="connsiteX15" fmla="*/ 63199 w 3097752"/>
              <a:gd name="connsiteY15" fmla="*/ 1482310 h 2122390"/>
              <a:gd name="connsiteX16" fmla="*/ 93679 w 3097752"/>
              <a:gd name="connsiteY16" fmla="*/ 1588990 h 2122390"/>
              <a:gd name="connsiteX17" fmla="*/ 139399 w 3097752"/>
              <a:gd name="connsiteY17" fmla="*/ 1665190 h 2122390"/>
              <a:gd name="connsiteX18" fmla="*/ 268939 w 3097752"/>
              <a:gd name="connsiteY18" fmla="*/ 1718530 h 2122390"/>
              <a:gd name="connsiteX19" fmla="*/ 1602439 w 3097752"/>
              <a:gd name="connsiteY19" fmla="*/ 1710910 h 2122390"/>
              <a:gd name="connsiteX20" fmla="*/ 1394789 w 3097752"/>
              <a:gd name="connsiteY20" fmla="*/ 1936637 h 2122390"/>
              <a:gd name="connsiteX21" fmla="*/ 1277656 w 3097752"/>
              <a:gd name="connsiteY21" fmla="*/ 2107150 h 2122390"/>
              <a:gd name="connsiteX22" fmla="*/ 1030939 w 3097752"/>
              <a:gd name="connsiteY22" fmla="*/ 2114770 h 2122390"/>
              <a:gd name="connsiteX23" fmla="*/ 1030939 w 3097752"/>
              <a:gd name="connsiteY23" fmla="*/ 1779490 h 2122390"/>
              <a:gd name="connsiteX24" fmla="*/ 817579 w 3097752"/>
              <a:gd name="connsiteY24" fmla="*/ 1977610 h 2122390"/>
              <a:gd name="connsiteX25" fmla="*/ 688484 w 3097752"/>
              <a:gd name="connsiteY25" fmla="*/ 1977610 h 2122390"/>
              <a:gd name="connsiteX26" fmla="*/ 690278 w 3097752"/>
              <a:gd name="connsiteY26" fmla="*/ 2122390 h 2122390"/>
              <a:gd name="connsiteX27" fmla="*/ 2239 w 3097752"/>
              <a:gd name="connsiteY27" fmla="*/ 2122390 h 2122390"/>
              <a:gd name="connsiteX28" fmla="*/ 0 w 3097752"/>
              <a:gd name="connsiteY28" fmla="*/ 0 h 2122390"/>
              <a:gd name="connsiteX0" fmla="*/ 0 w 3088679"/>
              <a:gd name="connsiteY0" fmla="*/ 1 h 2122391"/>
              <a:gd name="connsiteX1" fmla="*/ 3074879 w 3088679"/>
              <a:gd name="connsiteY1" fmla="*/ 0 h 2122391"/>
              <a:gd name="connsiteX2" fmla="*/ 3088340 w 3088679"/>
              <a:gd name="connsiteY2" fmla="*/ 2099531 h 2122391"/>
              <a:gd name="connsiteX3" fmla="*/ 1276573 w 3088679"/>
              <a:gd name="connsiteY3" fmla="*/ 2097737 h 2122391"/>
              <a:gd name="connsiteX4" fmla="*/ 1379526 w 3088679"/>
              <a:gd name="connsiteY4" fmla="*/ 1947131 h 2122391"/>
              <a:gd name="connsiteX5" fmla="*/ 2295859 w 3088679"/>
              <a:gd name="connsiteY5" fmla="*/ 1718531 h 2122391"/>
              <a:gd name="connsiteX6" fmla="*/ 2562559 w 3088679"/>
              <a:gd name="connsiteY6" fmla="*/ 1703291 h 2122391"/>
              <a:gd name="connsiteX7" fmla="*/ 2676859 w 3088679"/>
              <a:gd name="connsiteY7" fmla="*/ 1627091 h 2122391"/>
              <a:gd name="connsiteX8" fmla="*/ 2737819 w 3088679"/>
              <a:gd name="connsiteY8" fmla="*/ 1520411 h 2122391"/>
              <a:gd name="connsiteX9" fmla="*/ 2722579 w 3088679"/>
              <a:gd name="connsiteY9" fmla="*/ 438371 h 2122391"/>
              <a:gd name="connsiteX10" fmla="*/ 2699719 w 3088679"/>
              <a:gd name="connsiteY10" fmla="*/ 293591 h 2122391"/>
              <a:gd name="connsiteX11" fmla="*/ 2509219 w 3088679"/>
              <a:gd name="connsiteY11" fmla="*/ 202151 h 2122391"/>
              <a:gd name="connsiteX12" fmla="*/ 284179 w 3088679"/>
              <a:gd name="connsiteY12" fmla="*/ 209771 h 2122391"/>
              <a:gd name="connsiteX13" fmla="*/ 147019 w 3088679"/>
              <a:gd name="connsiteY13" fmla="*/ 255491 h 2122391"/>
              <a:gd name="connsiteX14" fmla="*/ 55579 w 3088679"/>
              <a:gd name="connsiteY14" fmla="*/ 407891 h 2122391"/>
              <a:gd name="connsiteX15" fmla="*/ 63199 w 3088679"/>
              <a:gd name="connsiteY15" fmla="*/ 1482311 h 2122391"/>
              <a:gd name="connsiteX16" fmla="*/ 93679 w 3088679"/>
              <a:gd name="connsiteY16" fmla="*/ 1588991 h 2122391"/>
              <a:gd name="connsiteX17" fmla="*/ 139399 w 3088679"/>
              <a:gd name="connsiteY17" fmla="*/ 1665191 h 2122391"/>
              <a:gd name="connsiteX18" fmla="*/ 268939 w 3088679"/>
              <a:gd name="connsiteY18" fmla="*/ 1718531 h 2122391"/>
              <a:gd name="connsiteX19" fmla="*/ 1602439 w 3088679"/>
              <a:gd name="connsiteY19" fmla="*/ 1710911 h 2122391"/>
              <a:gd name="connsiteX20" fmla="*/ 1394789 w 3088679"/>
              <a:gd name="connsiteY20" fmla="*/ 1936638 h 2122391"/>
              <a:gd name="connsiteX21" fmla="*/ 1277656 w 3088679"/>
              <a:gd name="connsiteY21" fmla="*/ 2107151 h 2122391"/>
              <a:gd name="connsiteX22" fmla="*/ 1030939 w 3088679"/>
              <a:gd name="connsiteY22" fmla="*/ 2114771 h 2122391"/>
              <a:gd name="connsiteX23" fmla="*/ 1030939 w 3088679"/>
              <a:gd name="connsiteY23" fmla="*/ 1779491 h 2122391"/>
              <a:gd name="connsiteX24" fmla="*/ 817579 w 3088679"/>
              <a:gd name="connsiteY24" fmla="*/ 1977611 h 2122391"/>
              <a:gd name="connsiteX25" fmla="*/ 688484 w 3088679"/>
              <a:gd name="connsiteY25" fmla="*/ 1977611 h 2122391"/>
              <a:gd name="connsiteX26" fmla="*/ 690278 w 3088679"/>
              <a:gd name="connsiteY26" fmla="*/ 2122391 h 2122391"/>
              <a:gd name="connsiteX27" fmla="*/ 2239 w 3088679"/>
              <a:gd name="connsiteY27" fmla="*/ 2122391 h 2122391"/>
              <a:gd name="connsiteX28" fmla="*/ 0 w 3088679"/>
              <a:gd name="connsiteY28" fmla="*/ 1 h 212239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88679" h="2122391">
                <a:moveTo>
                  <a:pt x="0" y="1"/>
                </a:moveTo>
                <a:lnTo>
                  <a:pt x="3074879" y="0"/>
                </a:lnTo>
                <a:cubicBezTo>
                  <a:pt x="3071741" y="687144"/>
                  <a:pt x="3091478" y="1412387"/>
                  <a:pt x="3088340" y="2099531"/>
                </a:cubicBezTo>
                <a:lnTo>
                  <a:pt x="1276573" y="2097737"/>
                </a:lnTo>
                <a:lnTo>
                  <a:pt x="1379526" y="1947131"/>
                </a:lnTo>
                <a:lnTo>
                  <a:pt x="2295859" y="1718531"/>
                </a:lnTo>
                <a:lnTo>
                  <a:pt x="2562559" y="1703291"/>
                </a:lnTo>
                <a:lnTo>
                  <a:pt x="2676859" y="1627091"/>
                </a:lnTo>
                <a:lnTo>
                  <a:pt x="2737819" y="1520411"/>
                </a:lnTo>
                <a:lnTo>
                  <a:pt x="2722579" y="438371"/>
                </a:lnTo>
                <a:lnTo>
                  <a:pt x="2699719" y="293591"/>
                </a:lnTo>
                <a:lnTo>
                  <a:pt x="2509219" y="202151"/>
                </a:lnTo>
                <a:lnTo>
                  <a:pt x="284179" y="209771"/>
                </a:lnTo>
                <a:lnTo>
                  <a:pt x="147019" y="255491"/>
                </a:lnTo>
                <a:lnTo>
                  <a:pt x="55579" y="407891"/>
                </a:lnTo>
                <a:lnTo>
                  <a:pt x="63199" y="1482311"/>
                </a:lnTo>
                <a:lnTo>
                  <a:pt x="93679" y="1588991"/>
                </a:lnTo>
                <a:lnTo>
                  <a:pt x="139399" y="1665191"/>
                </a:lnTo>
                <a:lnTo>
                  <a:pt x="268939" y="1718531"/>
                </a:lnTo>
                <a:lnTo>
                  <a:pt x="1602439" y="1710911"/>
                </a:lnTo>
                <a:lnTo>
                  <a:pt x="1394789" y="1936638"/>
                </a:lnTo>
                <a:lnTo>
                  <a:pt x="1277656" y="2107151"/>
                </a:lnTo>
                <a:lnTo>
                  <a:pt x="1030939" y="2114771"/>
                </a:lnTo>
                <a:lnTo>
                  <a:pt x="1030939" y="1779491"/>
                </a:lnTo>
                <a:lnTo>
                  <a:pt x="817579" y="1977611"/>
                </a:lnTo>
                <a:lnTo>
                  <a:pt x="688484" y="1977611"/>
                </a:lnTo>
                <a:lnTo>
                  <a:pt x="690278" y="2122391"/>
                </a:lnTo>
                <a:lnTo>
                  <a:pt x="2239" y="2122391"/>
                </a:lnTo>
                <a:cubicBezTo>
                  <a:pt x="1493" y="1425087"/>
                  <a:pt x="746" y="697305"/>
                  <a:pt x="0" y="1"/>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7" name="Freeform: Shape 2156">
            <a:extLst>
              <a:ext uri="{FF2B5EF4-FFF2-40B4-BE49-F238E27FC236}">
                <a16:creationId xmlns:a16="http://schemas.microsoft.com/office/drawing/2014/main" id="{00000000-0008-0000-0200-00006D080000}"/>
              </a:ext>
            </a:extLst>
          </xdr:cNvPr>
          <xdr:cNvSpPr/>
        </xdr:nvSpPr>
        <xdr:spPr>
          <a:xfrm flipH="1" flipV="1">
            <a:off x="9277735" y="89539103"/>
            <a:ext cx="3103593" cy="2075096"/>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0024 w 3097752"/>
              <a:gd name="connsiteY20" fmla="*/ 1946820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0024 w 3097752"/>
              <a:gd name="connsiteY20" fmla="*/ 1946820 h 2099532"/>
              <a:gd name="connsiteX21" fmla="*/ 1268124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0 h 2091911"/>
              <a:gd name="connsiteX1" fmla="*/ 3097752 w 3097752"/>
              <a:gd name="connsiteY1" fmla="*/ 15092 h 2091911"/>
              <a:gd name="connsiteX2" fmla="*/ 3088339 w 3097752"/>
              <a:gd name="connsiteY2" fmla="*/ 2053811 h 2091911"/>
              <a:gd name="connsiteX3" fmla="*/ 1276573 w 3097752"/>
              <a:gd name="connsiteY3" fmla="*/ 2067257 h 2091911"/>
              <a:gd name="connsiteX4" fmla="*/ 1427179 w 3097752"/>
              <a:gd name="connsiteY4" fmla="*/ 1916651 h 2091911"/>
              <a:gd name="connsiteX5" fmla="*/ 2295859 w 3097752"/>
              <a:gd name="connsiteY5" fmla="*/ 1688051 h 2091911"/>
              <a:gd name="connsiteX6" fmla="*/ 2562559 w 3097752"/>
              <a:gd name="connsiteY6" fmla="*/ 1672811 h 2091911"/>
              <a:gd name="connsiteX7" fmla="*/ 2676859 w 3097752"/>
              <a:gd name="connsiteY7" fmla="*/ 1596611 h 2091911"/>
              <a:gd name="connsiteX8" fmla="*/ 2737819 w 3097752"/>
              <a:gd name="connsiteY8" fmla="*/ 1489931 h 2091911"/>
              <a:gd name="connsiteX9" fmla="*/ 2722579 w 3097752"/>
              <a:gd name="connsiteY9" fmla="*/ 407891 h 2091911"/>
              <a:gd name="connsiteX10" fmla="*/ 2699719 w 3097752"/>
              <a:gd name="connsiteY10" fmla="*/ 263111 h 2091911"/>
              <a:gd name="connsiteX11" fmla="*/ 2509219 w 3097752"/>
              <a:gd name="connsiteY11" fmla="*/ 171671 h 2091911"/>
              <a:gd name="connsiteX12" fmla="*/ 284179 w 3097752"/>
              <a:gd name="connsiteY12" fmla="*/ 179291 h 2091911"/>
              <a:gd name="connsiteX13" fmla="*/ 147019 w 3097752"/>
              <a:gd name="connsiteY13" fmla="*/ 225011 h 2091911"/>
              <a:gd name="connsiteX14" fmla="*/ 55579 w 3097752"/>
              <a:gd name="connsiteY14" fmla="*/ 377411 h 2091911"/>
              <a:gd name="connsiteX15" fmla="*/ 63199 w 3097752"/>
              <a:gd name="connsiteY15" fmla="*/ 1451831 h 2091911"/>
              <a:gd name="connsiteX16" fmla="*/ 93679 w 3097752"/>
              <a:gd name="connsiteY16" fmla="*/ 1558511 h 2091911"/>
              <a:gd name="connsiteX17" fmla="*/ 139399 w 3097752"/>
              <a:gd name="connsiteY17" fmla="*/ 1634711 h 2091911"/>
              <a:gd name="connsiteX18" fmla="*/ 268939 w 3097752"/>
              <a:gd name="connsiteY18" fmla="*/ 1688051 h 2091911"/>
              <a:gd name="connsiteX19" fmla="*/ 1602439 w 3097752"/>
              <a:gd name="connsiteY19" fmla="*/ 1680431 h 2091911"/>
              <a:gd name="connsiteX20" fmla="*/ 1390024 w 3097752"/>
              <a:gd name="connsiteY20" fmla="*/ 1939199 h 2091911"/>
              <a:gd name="connsiteX21" fmla="*/ 1268124 w 3097752"/>
              <a:gd name="connsiteY21" fmla="*/ 2076671 h 2091911"/>
              <a:gd name="connsiteX22" fmla="*/ 1030939 w 3097752"/>
              <a:gd name="connsiteY22" fmla="*/ 2084291 h 2091911"/>
              <a:gd name="connsiteX23" fmla="*/ 1030939 w 3097752"/>
              <a:gd name="connsiteY23" fmla="*/ 1749011 h 2091911"/>
              <a:gd name="connsiteX24" fmla="*/ 817579 w 3097752"/>
              <a:gd name="connsiteY24" fmla="*/ 1947131 h 2091911"/>
              <a:gd name="connsiteX25" fmla="*/ 688484 w 3097752"/>
              <a:gd name="connsiteY25" fmla="*/ 1947131 h 2091911"/>
              <a:gd name="connsiteX26" fmla="*/ 696104 w 3097752"/>
              <a:gd name="connsiteY26" fmla="*/ 2091911 h 2091911"/>
              <a:gd name="connsiteX27" fmla="*/ 2239 w 3097752"/>
              <a:gd name="connsiteY27" fmla="*/ 2091911 h 2091911"/>
              <a:gd name="connsiteX28" fmla="*/ 0 w 3097752"/>
              <a:gd name="connsiteY28" fmla="*/ 0 h 2091911"/>
              <a:gd name="connsiteX0" fmla="*/ 0 w 3105376"/>
              <a:gd name="connsiteY0" fmla="*/ 7621 h 2076819"/>
              <a:gd name="connsiteX1" fmla="*/ 3105376 w 3105376"/>
              <a:gd name="connsiteY1" fmla="*/ 0 h 2076819"/>
              <a:gd name="connsiteX2" fmla="*/ 3095963 w 3105376"/>
              <a:gd name="connsiteY2" fmla="*/ 2038719 h 2076819"/>
              <a:gd name="connsiteX3" fmla="*/ 1284197 w 3105376"/>
              <a:gd name="connsiteY3" fmla="*/ 2052165 h 2076819"/>
              <a:gd name="connsiteX4" fmla="*/ 1434803 w 3105376"/>
              <a:gd name="connsiteY4" fmla="*/ 1901559 h 2076819"/>
              <a:gd name="connsiteX5" fmla="*/ 2303483 w 3105376"/>
              <a:gd name="connsiteY5" fmla="*/ 1672959 h 2076819"/>
              <a:gd name="connsiteX6" fmla="*/ 2570183 w 3105376"/>
              <a:gd name="connsiteY6" fmla="*/ 1657719 h 2076819"/>
              <a:gd name="connsiteX7" fmla="*/ 2684483 w 3105376"/>
              <a:gd name="connsiteY7" fmla="*/ 1581519 h 2076819"/>
              <a:gd name="connsiteX8" fmla="*/ 2745443 w 3105376"/>
              <a:gd name="connsiteY8" fmla="*/ 1474839 h 2076819"/>
              <a:gd name="connsiteX9" fmla="*/ 2730203 w 3105376"/>
              <a:gd name="connsiteY9" fmla="*/ 392799 h 2076819"/>
              <a:gd name="connsiteX10" fmla="*/ 2707343 w 3105376"/>
              <a:gd name="connsiteY10" fmla="*/ 248019 h 2076819"/>
              <a:gd name="connsiteX11" fmla="*/ 2516843 w 3105376"/>
              <a:gd name="connsiteY11" fmla="*/ 156579 h 2076819"/>
              <a:gd name="connsiteX12" fmla="*/ 291803 w 3105376"/>
              <a:gd name="connsiteY12" fmla="*/ 164199 h 2076819"/>
              <a:gd name="connsiteX13" fmla="*/ 154643 w 3105376"/>
              <a:gd name="connsiteY13" fmla="*/ 209919 h 2076819"/>
              <a:gd name="connsiteX14" fmla="*/ 63203 w 3105376"/>
              <a:gd name="connsiteY14" fmla="*/ 362319 h 2076819"/>
              <a:gd name="connsiteX15" fmla="*/ 70823 w 3105376"/>
              <a:gd name="connsiteY15" fmla="*/ 1436739 h 2076819"/>
              <a:gd name="connsiteX16" fmla="*/ 101303 w 3105376"/>
              <a:gd name="connsiteY16" fmla="*/ 1543419 h 2076819"/>
              <a:gd name="connsiteX17" fmla="*/ 147023 w 3105376"/>
              <a:gd name="connsiteY17" fmla="*/ 1619619 h 2076819"/>
              <a:gd name="connsiteX18" fmla="*/ 276563 w 3105376"/>
              <a:gd name="connsiteY18" fmla="*/ 1672959 h 2076819"/>
              <a:gd name="connsiteX19" fmla="*/ 1610063 w 3105376"/>
              <a:gd name="connsiteY19" fmla="*/ 1665339 h 2076819"/>
              <a:gd name="connsiteX20" fmla="*/ 1397648 w 3105376"/>
              <a:gd name="connsiteY20" fmla="*/ 1924107 h 2076819"/>
              <a:gd name="connsiteX21" fmla="*/ 1275748 w 3105376"/>
              <a:gd name="connsiteY21" fmla="*/ 2061579 h 2076819"/>
              <a:gd name="connsiteX22" fmla="*/ 1038563 w 3105376"/>
              <a:gd name="connsiteY22" fmla="*/ 2069199 h 2076819"/>
              <a:gd name="connsiteX23" fmla="*/ 1038563 w 3105376"/>
              <a:gd name="connsiteY23" fmla="*/ 1733919 h 2076819"/>
              <a:gd name="connsiteX24" fmla="*/ 825203 w 3105376"/>
              <a:gd name="connsiteY24" fmla="*/ 1932039 h 2076819"/>
              <a:gd name="connsiteX25" fmla="*/ 696108 w 3105376"/>
              <a:gd name="connsiteY25" fmla="*/ 1932039 h 2076819"/>
              <a:gd name="connsiteX26" fmla="*/ 703728 w 3105376"/>
              <a:gd name="connsiteY26" fmla="*/ 2076819 h 2076819"/>
              <a:gd name="connsiteX27" fmla="*/ 9863 w 3105376"/>
              <a:gd name="connsiteY27" fmla="*/ 2076819 h 2076819"/>
              <a:gd name="connsiteX28" fmla="*/ 0 w 3105376"/>
              <a:gd name="connsiteY28" fmla="*/ 7621 h 2076819"/>
              <a:gd name="connsiteX0" fmla="*/ 0 w 3105376"/>
              <a:gd name="connsiteY0" fmla="*/ 50 h 2069248"/>
              <a:gd name="connsiteX1" fmla="*/ 3105376 w 3105376"/>
              <a:gd name="connsiteY1" fmla="*/ 0 h 2069248"/>
              <a:gd name="connsiteX2" fmla="*/ 3095963 w 3105376"/>
              <a:gd name="connsiteY2" fmla="*/ 2031148 h 2069248"/>
              <a:gd name="connsiteX3" fmla="*/ 1284197 w 3105376"/>
              <a:gd name="connsiteY3" fmla="*/ 2044594 h 2069248"/>
              <a:gd name="connsiteX4" fmla="*/ 1434803 w 3105376"/>
              <a:gd name="connsiteY4" fmla="*/ 1893988 h 2069248"/>
              <a:gd name="connsiteX5" fmla="*/ 2303483 w 3105376"/>
              <a:gd name="connsiteY5" fmla="*/ 1665388 h 2069248"/>
              <a:gd name="connsiteX6" fmla="*/ 2570183 w 3105376"/>
              <a:gd name="connsiteY6" fmla="*/ 1650148 h 2069248"/>
              <a:gd name="connsiteX7" fmla="*/ 2684483 w 3105376"/>
              <a:gd name="connsiteY7" fmla="*/ 1573948 h 2069248"/>
              <a:gd name="connsiteX8" fmla="*/ 2745443 w 3105376"/>
              <a:gd name="connsiteY8" fmla="*/ 1467268 h 2069248"/>
              <a:gd name="connsiteX9" fmla="*/ 2730203 w 3105376"/>
              <a:gd name="connsiteY9" fmla="*/ 385228 h 2069248"/>
              <a:gd name="connsiteX10" fmla="*/ 2707343 w 3105376"/>
              <a:gd name="connsiteY10" fmla="*/ 240448 h 2069248"/>
              <a:gd name="connsiteX11" fmla="*/ 2516843 w 3105376"/>
              <a:gd name="connsiteY11" fmla="*/ 149008 h 2069248"/>
              <a:gd name="connsiteX12" fmla="*/ 291803 w 3105376"/>
              <a:gd name="connsiteY12" fmla="*/ 156628 h 2069248"/>
              <a:gd name="connsiteX13" fmla="*/ 154643 w 3105376"/>
              <a:gd name="connsiteY13" fmla="*/ 202348 h 2069248"/>
              <a:gd name="connsiteX14" fmla="*/ 63203 w 3105376"/>
              <a:gd name="connsiteY14" fmla="*/ 354748 h 2069248"/>
              <a:gd name="connsiteX15" fmla="*/ 70823 w 3105376"/>
              <a:gd name="connsiteY15" fmla="*/ 1429168 h 2069248"/>
              <a:gd name="connsiteX16" fmla="*/ 101303 w 3105376"/>
              <a:gd name="connsiteY16" fmla="*/ 1535848 h 2069248"/>
              <a:gd name="connsiteX17" fmla="*/ 147023 w 3105376"/>
              <a:gd name="connsiteY17" fmla="*/ 1612048 h 2069248"/>
              <a:gd name="connsiteX18" fmla="*/ 276563 w 3105376"/>
              <a:gd name="connsiteY18" fmla="*/ 1665388 h 2069248"/>
              <a:gd name="connsiteX19" fmla="*/ 1610063 w 3105376"/>
              <a:gd name="connsiteY19" fmla="*/ 1657768 h 2069248"/>
              <a:gd name="connsiteX20" fmla="*/ 1397648 w 3105376"/>
              <a:gd name="connsiteY20" fmla="*/ 1916536 h 2069248"/>
              <a:gd name="connsiteX21" fmla="*/ 1275748 w 3105376"/>
              <a:gd name="connsiteY21" fmla="*/ 2054008 h 2069248"/>
              <a:gd name="connsiteX22" fmla="*/ 1038563 w 3105376"/>
              <a:gd name="connsiteY22" fmla="*/ 2061628 h 2069248"/>
              <a:gd name="connsiteX23" fmla="*/ 1038563 w 3105376"/>
              <a:gd name="connsiteY23" fmla="*/ 1726348 h 2069248"/>
              <a:gd name="connsiteX24" fmla="*/ 825203 w 3105376"/>
              <a:gd name="connsiteY24" fmla="*/ 1924468 h 2069248"/>
              <a:gd name="connsiteX25" fmla="*/ 696108 w 3105376"/>
              <a:gd name="connsiteY25" fmla="*/ 1924468 h 2069248"/>
              <a:gd name="connsiteX26" fmla="*/ 703728 w 3105376"/>
              <a:gd name="connsiteY26" fmla="*/ 2069248 h 2069248"/>
              <a:gd name="connsiteX27" fmla="*/ 9863 w 3105376"/>
              <a:gd name="connsiteY27" fmla="*/ 2069248 h 2069248"/>
              <a:gd name="connsiteX28" fmla="*/ 0 w 3105376"/>
              <a:gd name="connsiteY28" fmla="*/ 50 h 206924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105376" h="2069248">
                <a:moveTo>
                  <a:pt x="0" y="50"/>
                </a:moveTo>
                <a:lnTo>
                  <a:pt x="3105376" y="0"/>
                </a:lnTo>
                <a:cubicBezTo>
                  <a:pt x="3102238" y="687144"/>
                  <a:pt x="3099101" y="1344004"/>
                  <a:pt x="3095963" y="2031148"/>
                </a:cubicBezTo>
                <a:lnTo>
                  <a:pt x="1284197" y="2044594"/>
                </a:lnTo>
                <a:lnTo>
                  <a:pt x="1434803" y="1893988"/>
                </a:lnTo>
                <a:lnTo>
                  <a:pt x="2303483" y="1665388"/>
                </a:lnTo>
                <a:lnTo>
                  <a:pt x="2570183" y="1650148"/>
                </a:lnTo>
                <a:lnTo>
                  <a:pt x="2684483" y="1573948"/>
                </a:lnTo>
                <a:lnTo>
                  <a:pt x="2745443" y="1467268"/>
                </a:lnTo>
                <a:lnTo>
                  <a:pt x="2730203" y="385228"/>
                </a:lnTo>
                <a:lnTo>
                  <a:pt x="2707343" y="240448"/>
                </a:lnTo>
                <a:lnTo>
                  <a:pt x="2516843" y="149008"/>
                </a:lnTo>
                <a:lnTo>
                  <a:pt x="291803" y="156628"/>
                </a:lnTo>
                <a:lnTo>
                  <a:pt x="154643" y="202348"/>
                </a:lnTo>
                <a:lnTo>
                  <a:pt x="63203" y="354748"/>
                </a:lnTo>
                <a:lnTo>
                  <a:pt x="70823" y="1429168"/>
                </a:lnTo>
                <a:lnTo>
                  <a:pt x="101303" y="1535848"/>
                </a:lnTo>
                <a:lnTo>
                  <a:pt x="147023" y="1612048"/>
                </a:lnTo>
                <a:lnTo>
                  <a:pt x="276563" y="1665388"/>
                </a:lnTo>
                <a:lnTo>
                  <a:pt x="1610063" y="1657768"/>
                </a:lnTo>
                <a:lnTo>
                  <a:pt x="1397648" y="1916536"/>
                </a:lnTo>
                <a:lnTo>
                  <a:pt x="1275748" y="2054008"/>
                </a:lnTo>
                <a:lnTo>
                  <a:pt x="1038563" y="2061628"/>
                </a:lnTo>
                <a:lnTo>
                  <a:pt x="1038563" y="1726348"/>
                </a:lnTo>
                <a:lnTo>
                  <a:pt x="825203" y="1924468"/>
                </a:lnTo>
                <a:lnTo>
                  <a:pt x="696108" y="1924468"/>
                </a:lnTo>
                <a:lnTo>
                  <a:pt x="703728" y="2069248"/>
                </a:lnTo>
                <a:lnTo>
                  <a:pt x="9863" y="2069248"/>
                </a:lnTo>
                <a:cubicBezTo>
                  <a:pt x="9117" y="1371944"/>
                  <a:pt x="746" y="697354"/>
                  <a:pt x="0" y="50"/>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7620</xdr:colOff>
      <xdr:row>1210</xdr:row>
      <xdr:rowOff>38100</xdr:rowOff>
    </xdr:from>
    <xdr:to>
      <xdr:col>4</xdr:col>
      <xdr:colOff>350520</xdr:colOff>
      <xdr:row>1214</xdr:row>
      <xdr:rowOff>22860</xdr:rowOff>
    </xdr:to>
    <xdr:sp macro="" textlink="">
      <xdr:nvSpPr>
        <xdr:cNvPr id="2231" name="Rectangle: Beveled 2230">
          <a:hlinkClick xmlns:r="http://schemas.openxmlformats.org/officeDocument/2006/relationships" r:id="rId6" tooltip="to DEGENERALIZE section"/>
          <a:extLst>
            <a:ext uri="{FF2B5EF4-FFF2-40B4-BE49-F238E27FC236}">
              <a16:creationId xmlns:a16="http://schemas.microsoft.com/office/drawing/2014/main" id="{00000000-0008-0000-0200-0000B7080000}"/>
            </a:ext>
          </a:extLst>
        </xdr:cNvPr>
        <xdr:cNvSpPr/>
      </xdr:nvSpPr>
      <xdr:spPr>
        <a:xfrm>
          <a:off x="640842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DEGENERALIZE</a:t>
          </a:r>
        </a:p>
      </xdr:txBody>
    </xdr:sp>
    <xdr:clientData/>
  </xdr:twoCellAnchor>
  <xdr:twoCellAnchor>
    <xdr:from>
      <xdr:col>5</xdr:col>
      <xdr:colOff>22860</xdr:colOff>
      <xdr:row>1210</xdr:row>
      <xdr:rowOff>38100</xdr:rowOff>
    </xdr:from>
    <xdr:to>
      <xdr:col>8</xdr:col>
      <xdr:colOff>365760</xdr:colOff>
      <xdr:row>1214</xdr:row>
      <xdr:rowOff>22860</xdr:rowOff>
    </xdr:to>
    <xdr:sp macro="" textlink="">
      <xdr:nvSpPr>
        <xdr:cNvPr id="2232" name="Rectangle: Beveled 2231">
          <a:hlinkClick xmlns:r="http://schemas.openxmlformats.org/officeDocument/2006/relationships" r:id="rId7" tooltip="to DEALIENATE section"/>
          <a:extLst>
            <a:ext uri="{FF2B5EF4-FFF2-40B4-BE49-F238E27FC236}">
              <a16:creationId xmlns:a16="http://schemas.microsoft.com/office/drawing/2014/main" id="{00000000-0008-0000-0200-0000B8080000}"/>
            </a:ext>
          </a:extLst>
        </xdr:cNvPr>
        <xdr:cNvSpPr/>
      </xdr:nvSpPr>
      <xdr:spPr>
        <a:xfrm>
          <a:off x="843534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DEALIENATE</a:t>
          </a:r>
        </a:p>
      </xdr:txBody>
    </xdr:sp>
    <xdr:clientData/>
  </xdr:twoCellAnchor>
  <xdr:twoCellAnchor>
    <xdr:from>
      <xdr:col>9</xdr:col>
      <xdr:colOff>22860</xdr:colOff>
      <xdr:row>1210</xdr:row>
      <xdr:rowOff>38100</xdr:rowOff>
    </xdr:from>
    <xdr:to>
      <xdr:col>12</xdr:col>
      <xdr:colOff>365760</xdr:colOff>
      <xdr:row>1214</xdr:row>
      <xdr:rowOff>22860</xdr:rowOff>
    </xdr:to>
    <xdr:sp macro="" textlink="">
      <xdr:nvSpPr>
        <xdr:cNvPr id="2233" name="Rectangle: Beveled 2232">
          <a:hlinkClick xmlns:r="http://schemas.openxmlformats.org/officeDocument/2006/relationships" r:id="rId8" tooltip="to DEPOLARIZE section"/>
          <a:extLst>
            <a:ext uri="{FF2B5EF4-FFF2-40B4-BE49-F238E27FC236}">
              <a16:creationId xmlns:a16="http://schemas.microsoft.com/office/drawing/2014/main" id="{00000000-0008-0000-0200-0000B9080000}"/>
            </a:ext>
          </a:extLst>
        </xdr:cNvPr>
        <xdr:cNvSpPr/>
      </xdr:nvSpPr>
      <xdr:spPr>
        <a:xfrm>
          <a:off x="1044702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DEPOLARIZE</a:t>
          </a:r>
        </a:p>
      </xdr:txBody>
    </xdr:sp>
    <xdr:clientData/>
  </xdr:twoCellAnchor>
  <xdr:twoCellAnchor>
    <xdr:from>
      <xdr:col>0</xdr:col>
      <xdr:colOff>107399</xdr:colOff>
      <xdr:row>1489</xdr:row>
      <xdr:rowOff>39882</xdr:rowOff>
    </xdr:from>
    <xdr:to>
      <xdr:col>2</xdr:col>
      <xdr:colOff>338680</xdr:colOff>
      <xdr:row>1493</xdr:row>
      <xdr:rowOff>89807</xdr:rowOff>
    </xdr:to>
    <xdr:grpSp>
      <xdr:nvGrpSpPr>
        <xdr:cNvPr id="2234" name="Group 2233">
          <a:extLst>
            <a:ext uri="{FF2B5EF4-FFF2-40B4-BE49-F238E27FC236}">
              <a16:creationId xmlns:a16="http://schemas.microsoft.com/office/drawing/2014/main" id="{00000000-0008-0000-0200-0000BA080000}"/>
            </a:ext>
          </a:extLst>
        </xdr:cNvPr>
        <xdr:cNvGrpSpPr/>
      </xdr:nvGrpSpPr>
      <xdr:grpSpPr>
        <a:xfrm>
          <a:off x="107399" y="292396422"/>
          <a:ext cx="848501" cy="750965"/>
          <a:chOff x="6361572" y="87885629"/>
          <a:chExt cx="851384" cy="836087"/>
        </a:xfrm>
        <a:gradFill>
          <a:gsLst>
            <a:gs pos="0">
              <a:srgbClr val="FF0000"/>
            </a:gs>
            <a:gs pos="50000">
              <a:srgbClr val="FF9999"/>
            </a:gs>
            <a:gs pos="100000">
              <a:srgbClr val="FFCCCC"/>
            </a:gs>
          </a:gsLst>
          <a:path path="circle">
            <a:fillToRect l="50000" t="50000" r="50000" b="50000"/>
          </a:path>
        </a:gradFill>
      </xdr:grpSpPr>
      <xdr:sp macro="" textlink="">
        <xdr:nvSpPr>
          <xdr:cNvPr id="2235" name="Oval 2234">
            <a:extLst>
              <a:ext uri="{FF2B5EF4-FFF2-40B4-BE49-F238E27FC236}">
                <a16:creationId xmlns:a16="http://schemas.microsoft.com/office/drawing/2014/main" id="{00000000-0008-0000-0200-0000BB080000}"/>
              </a:ext>
            </a:extLst>
          </xdr:cNvPr>
          <xdr:cNvSpPr>
            <a:spLocks noChangeAspect="1"/>
          </xdr:cNvSpPr>
        </xdr:nvSpPr>
        <xdr:spPr>
          <a:xfrm>
            <a:off x="6438900" y="88041480"/>
            <a:ext cx="458753" cy="514242"/>
          </a:xfrm>
          <a:prstGeom prst="ellipse">
            <a:avLst/>
          </a:prstGeom>
          <a:grp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236" name="Rectangle 2235">
            <a:extLst>
              <a:ext uri="{FF2B5EF4-FFF2-40B4-BE49-F238E27FC236}">
                <a16:creationId xmlns:a16="http://schemas.microsoft.com/office/drawing/2014/main" id="{00000000-0008-0000-0200-0000BC080000}"/>
              </a:ext>
            </a:extLst>
          </xdr:cNvPr>
          <xdr:cNvSpPr/>
        </xdr:nvSpPr>
        <xdr:spPr>
          <a:xfrm>
            <a:off x="6361572" y="87885629"/>
            <a:ext cx="851384" cy="836087"/>
          </a:xfrm>
          <a:prstGeom prst="rect">
            <a:avLst/>
          </a:prstGeom>
          <a:noFill/>
        </xdr:spPr>
        <xdr:txBody>
          <a:bodyPr wrap="none" lIns="91440" tIns="45720" rIns="91440" bIns="45720">
            <a:sp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99476</xdr:colOff>
      <xdr:row>1492</xdr:row>
      <xdr:rowOff>123184</xdr:rowOff>
    </xdr:from>
    <xdr:to>
      <xdr:col>2</xdr:col>
      <xdr:colOff>327659</xdr:colOff>
      <xdr:row>1495</xdr:row>
      <xdr:rowOff>145481</xdr:rowOff>
    </xdr:to>
    <xdr:grpSp>
      <xdr:nvGrpSpPr>
        <xdr:cNvPr id="2237" name="Group 2236">
          <a:extLst>
            <a:ext uri="{FF2B5EF4-FFF2-40B4-BE49-F238E27FC236}">
              <a16:creationId xmlns:a16="http://schemas.microsoft.com/office/drawing/2014/main" id="{00000000-0008-0000-0200-0000BD080000}"/>
            </a:ext>
          </a:extLst>
        </xdr:cNvPr>
        <xdr:cNvGrpSpPr/>
      </xdr:nvGrpSpPr>
      <xdr:grpSpPr>
        <a:xfrm>
          <a:off x="99476" y="292990264"/>
          <a:ext cx="845403" cy="593797"/>
          <a:chOff x="6368955" y="87895955"/>
          <a:chExt cx="848276" cy="632607"/>
        </a:xfrm>
      </xdr:grpSpPr>
      <xdr:sp macro="" textlink="">
        <xdr:nvSpPr>
          <xdr:cNvPr id="2238" name="Oval 2237">
            <a:extLst>
              <a:ext uri="{FF2B5EF4-FFF2-40B4-BE49-F238E27FC236}">
                <a16:creationId xmlns:a16="http://schemas.microsoft.com/office/drawing/2014/main" id="{00000000-0008-0000-0200-0000BE080000}"/>
              </a:ext>
            </a:extLst>
          </xdr:cNvPr>
          <xdr:cNvSpPr>
            <a:spLocks noChangeAspect="1"/>
          </xdr:cNvSpPr>
        </xdr:nvSpPr>
        <xdr:spPr>
          <a:xfrm>
            <a:off x="6438900" y="88041480"/>
            <a:ext cx="458753" cy="487082"/>
          </a:xfrm>
          <a:prstGeom prst="ellipse">
            <a:avLst/>
          </a:prstGeom>
          <a:gradFill>
            <a:gsLst>
              <a:gs pos="0">
                <a:srgbClr val="FF0000"/>
              </a:gs>
              <a:gs pos="50000">
                <a:srgbClr val="FF9999"/>
              </a:gs>
              <a:gs pos="100000">
                <a:srgbClr val="FFCCCC"/>
              </a:gs>
            </a:gsLst>
            <a:path path="circle">
              <a:fillToRect l="50000" t="50000" r="50000" b="50000"/>
            </a:path>
          </a:grad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239" name="Rectangle 2238">
            <a:extLst>
              <a:ext uri="{FF2B5EF4-FFF2-40B4-BE49-F238E27FC236}">
                <a16:creationId xmlns:a16="http://schemas.microsoft.com/office/drawing/2014/main" id="{00000000-0008-0000-0200-0000BF080000}"/>
              </a:ext>
            </a:extLst>
          </xdr:cNvPr>
          <xdr:cNvSpPr/>
        </xdr:nvSpPr>
        <xdr:spPr>
          <a:xfrm>
            <a:off x="6368955" y="87895955"/>
            <a:ext cx="848276" cy="591235"/>
          </a:xfrm>
          <a:prstGeom prst="rect">
            <a:avLst/>
          </a:prstGeom>
          <a:noFill/>
        </xdr:spPr>
        <xdr:txBody>
          <a:bodyPr wrap="square" lIns="91440" tIns="45720" rIns="91440" bIns="45720">
            <a:noAutofit/>
          </a:bodyPr>
          <a:lstStyle/>
          <a:p>
            <a:pPr algn="ctr"/>
            <a:r>
              <a:rPr lang="en-US" sz="3600" b="0" cap="none" spc="0">
                <a:ln w="0"/>
                <a:solidFill>
                  <a:srgbClr val="D7B9FF"/>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30480</xdr:colOff>
      <xdr:row>1238</xdr:row>
      <xdr:rowOff>7621</xdr:rowOff>
    </xdr:from>
    <xdr:to>
      <xdr:col>13</xdr:col>
      <xdr:colOff>91440</xdr:colOff>
      <xdr:row>1240</xdr:row>
      <xdr:rowOff>137160</xdr:rowOff>
    </xdr:to>
    <xdr:sp macro="" textlink="">
      <xdr:nvSpPr>
        <xdr:cNvPr id="2243" name="TextBox 2242">
          <a:extLst>
            <a:ext uri="{FF2B5EF4-FFF2-40B4-BE49-F238E27FC236}">
              <a16:creationId xmlns:a16="http://schemas.microsoft.com/office/drawing/2014/main" id="{00000000-0008-0000-0200-0000C3080000}"/>
            </a:ext>
          </a:extLst>
        </xdr:cNvPr>
        <xdr:cNvSpPr txBox="1"/>
      </xdr:nvSpPr>
      <xdr:spPr>
        <a:xfrm>
          <a:off x="6309360" y="78996541"/>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Arial Narrow" panose="020B0606020202030204" pitchFamily="34" charset="0"/>
            </a:rPr>
            <a:t>Generalizing can remain provisional, as a bridge to relevant specifics. Too often, we cling to our trusted generalizations for relief, letting them slip into obstructing over-generalizing. Let's dial them back.</a:t>
          </a:r>
        </a:p>
      </xdr:txBody>
    </xdr:sp>
    <xdr:clientData/>
  </xdr:twoCellAnchor>
  <xdr:twoCellAnchor>
    <xdr:from>
      <xdr:col>0</xdr:col>
      <xdr:colOff>60958</xdr:colOff>
      <xdr:row>1207</xdr:row>
      <xdr:rowOff>74506</xdr:rowOff>
    </xdr:from>
    <xdr:to>
      <xdr:col>12</xdr:col>
      <xdr:colOff>434338</xdr:colOff>
      <xdr:row>1210</xdr:row>
      <xdr:rowOff>5926</xdr:rowOff>
    </xdr:to>
    <xdr:sp macro="" textlink="">
      <xdr:nvSpPr>
        <xdr:cNvPr id="2244" name="TextBox 2243">
          <a:extLst>
            <a:ext uri="{FF2B5EF4-FFF2-40B4-BE49-F238E27FC236}">
              <a16:creationId xmlns:a16="http://schemas.microsoft.com/office/drawing/2014/main" id="{00000000-0008-0000-0200-0000C4080000}"/>
            </a:ext>
          </a:extLst>
        </xdr:cNvPr>
        <xdr:cNvSpPr txBox="1"/>
      </xdr:nvSpPr>
      <xdr:spPr>
        <a:xfrm>
          <a:off x="6339838" y="73013146"/>
          <a:ext cx="6027420" cy="480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solidFill>
                <a:srgbClr val="007846"/>
              </a:solidFill>
              <a:latin typeface="Arial Black" panose="020B0A04020102020204" pitchFamily="34" charset="0"/>
            </a:rPr>
            <a:t>Harmony Politics</a:t>
          </a:r>
          <a:r>
            <a:rPr lang="en-US" sz="1100" baseline="0">
              <a:latin typeface="Arial Black" panose="020B0A04020102020204" pitchFamily="34" charset="0"/>
            </a:rPr>
            <a:t> </a:t>
          </a:r>
          <a:r>
            <a:rPr lang="en-US" sz="1100" baseline="0">
              <a:latin typeface="Arial Narrow" panose="020B0606020202030204" pitchFamily="34" charset="0"/>
            </a:rPr>
            <a:t>basically follows a three-step process based on this </a:t>
          </a:r>
          <a:r>
            <a:rPr lang="en-US" sz="1100" i="1" baseline="0">
              <a:latin typeface="Arial Narrow" panose="020B0606020202030204" pitchFamily="34" charset="0"/>
            </a:rPr>
            <a:t>anankelogical</a:t>
          </a:r>
          <a:r>
            <a:rPr lang="en-US" sz="1100" baseline="0">
              <a:latin typeface="Arial Narrow" panose="020B0606020202030204" pitchFamily="34" charset="0"/>
            </a:rPr>
            <a:t> definition of politics. Click on each or scroll down to learn and use these empowering steps.</a:t>
          </a:r>
        </a:p>
      </xdr:txBody>
    </xdr:sp>
    <xdr:clientData/>
  </xdr:twoCellAnchor>
  <xdr:twoCellAnchor>
    <xdr:from>
      <xdr:col>1</xdr:col>
      <xdr:colOff>7620</xdr:colOff>
      <xdr:row>1235</xdr:row>
      <xdr:rowOff>32075</xdr:rowOff>
    </xdr:from>
    <xdr:to>
      <xdr:col>13</xdr:col>
      <xdr:colOff>7620</xdr:colOff>
      <xdr:row>1236</xdr:row>
      <xdr:rowOff>107428</xdr:rowOff>
    </xdr:to>
    <xdr:sp macro="" textlink="">
      <xdr:nvSpPr>
        <xdr:cNvPr id="2252" name="TextBox 2251">
          <a:extLst>
            <a:ext uri="{FF2B5EF4-FFF2-40B4-BE49-F238E27FC236}">
              <a16:creationId xmlns:a16="http://schemas.microsoft.com/office/drawing/2014/main" id="{00000000-0008-0000-0200-0000CC080000}"/>
            </a:ext>
          </a:extLst>
        </xdr:cNvPr>
        <xdr:cNvSpPr txBox="1"/>
      </xdr:nvSpPr>
      <xdr:spPr>
        <a:xfrm>
          <a:off x="127149" y="176352899"/>
          <a:ext cx="5916706" cy="2546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000" b="1" baseline="0">
              <a:solidFill>
                <a:schemeClr val="accent4">
                  <a:lumMod val="50000"/>
                </a:schemeClr>
              </a:solidFill>
              <a:latin typeface="Arial Narrow" panose="020B0606020202030204" pitchFamily="34" charset="0"/>
              <a:ea typeface="Verdana" panose="020B0604030504040204" pitchFamily="34" charset="0"/>
            </a:rPr>
            <a:t>CHANGE ISSUE HERE OR ABOVE</a:t>
          </a:r>
          <a:endParaRPr lang="en-US" sz="900" b="1" baseline="0">
            <a:solidFill>
              <a:schemeClr val="accent4">
                <a:lumMod val="50000"/>
              </a:schemeClr>
            </a:solidFill>
            <a:latin typeface="Arial Narrow" panose="020B0606020202030204" pitchFamily="34" charset="0"/>
          </a:endParaRPr>
        </a:p>
      </xdr:txBody>
    </xdr:sp>
    <xdr:clientData/>
  </xdr:twoCellAnchor>
  <xdr:twoCellAnchor>
    <xdr:from>
      <xdr:col>0</xdr:col>
      <xdr:colOff>38845</xdr:colOff>
      <xdr:row>1386</xdr:row>
      <xdr:rowOff>106979</xdr:rowOff>
    </xdr:from>
    <xdr:to>
      <xdr:col>13</xdr:col>
      <xdr:colOff>76796</xdr:colOff>
      <xdr:row>1408</xdr:row>
      <xdr:rowOff>52442</xdr:rowOff>
    </xdr:to>
    <xdr:grpSp>
      <xdr:nvGrpSpPr>
        <xdr:cNvPr id="2660" name="Group 2659">
          <a:extLst>
            <a:ext uri="{FF2B5EF4-FFF2-40B4-BE49-F238E27FC236}">
              <a16:creationId xmlns:a16="http://schemas.microsoft.com/office/drawing/2014/main" id="{00000000-0008-0000-0200-0000640A0000}"/>
            </a:ext>
          </a:extLst>
        </xdr:cNvPr>
        <xdr:cNvGrpSpPr/>
      </xdr:nvGrpSpPr>
      <xdr:grpSpPr>
        <a:xfrm>
          <a:off x="38845" y="273451619"/>
          <a:ext cx="6187291" cy="3892623"/>
          <a:chOff x="6226105" y="104920177"/>
          <a:chExt cx="6103507" cy="3893266"/>
        </a:xfrm>
      </xdr:grpSpPr>
      <xdr:sp macro="" textlink="">
        <xdr:nvSpPr>
          <xdr:cNvPr id="2661" name="Frame 50">
            <a:extLst>
              <a:ext uri="{FF2B5EF4-FFF2-40B4-BE49-F238E27FC236}">
                <a16:creationId xmlns:a16="http://schemas.microsoft.com/office/drawing/2014/main" id="{00000000-0008-0000-0200-0000650A0000}"/>
              </a:ext>
            </a:extLst>
          </xdr:cNvPr>
          <xdr:cNvSpPr/>
        </xdr:nvSpPr>
        <xdr:spPr>
          <a:xfrm>
            <a:off x="6226105" y="104972961"/>
            <a:ext cx="26441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137227 w 2644140"/>
              <a:gd name="connsiteY16" fmla="*/ 1403006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114708 w 2644140"/>
              <a:gd name="connsiteY15" fmla="*/ 204815 h 1592580"/>
              <a:gd name="connsiteX16" fmla="*/ 137227 w 2644140"/>
              <a:gd name="connsiteY16" fmla="*/ 1403006 h 1592580"/>
              <a:gd name="connsiteX17" fmla="*/ 2446973 w 2644140"/>
              <a:gd name="connsiteY17" fmla="*/ 1395413 h 1592580"/>
              <a:gd name="connsiteX18" fmla="*/ 2446973 w 2644140"/>
              <a:gd name="connsiteY18" fmla="*/ 212408 h 1592580"/>
              <a:gd name="connsiteX19" fmla="*/ 114708 w 2644140"/>
              <a:gd name="connsiteY19" fmla="*/ 204815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114708 w 2644140"/>
              <a:gd name="connsiteY15" fmla="*/ 204815 h 1592580"/>
              <a:gd name="connsiteX16" fmla="*/ 114707 w 2644140"/>
              <a:gd name="connsiteY16" fmla="*/ 1403006 h 1592580"/>
              <a:gd name="connsiteX17" fmla="*/ 2446973 w 2644140"/>
              <a:gd name="connsiteY17" fmla="*/ 1395413 h 1592580"/>
              <a:gd name="connsiteX18" fmla="*/ 2446973 w 2644140"/>
              <a:gd name="connsiteY18" fmla="*/ 212408 h 1592580"/>
              <a:gd name="connsiteX19" fmla="*/ 114708 w 2644140"/>
              <a:gd name="connsiteY19" fmla="*/ 204815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01474" y="30281"/>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10109" y="126536"/>
                </a:lnTo>
                <a:lnTo>
                  <a:pt x="60960" y="53340"/>
                </a:lnTo>
                <a:close/>
                <a:moveTo>
                  <a:pt x="114708" y="204815"/>
                </a:moveTo>
                <a:cubicBezTo>
                  <a:pt x="114708" y="604212"/>
                  <a:pt x="114707" y="1003609"/>
                  <a:pt x="114707" y="1403006"/>
                </a:cubicBezTo>
                <a:lnTo>
                  <a:pt x="2446973" y="1395413"/>
                </a:lnTo>
                <a:lnTo>
                  <a:pt x="2446973" y="212408"/>
                </a:lnTo>
                <a:lnTo>
                  <a:pt x="114708" y="204815"/>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2" name="Frame 50">
            <a:extLst>
              <a:ext uri="{FF2B5EF4-FFF2-40B4-BE49-F238E27FC236}">
                <a16:creationId xmlns:a16="http://schemas.microsoft.com/office/drawing/2014/main" id="{00000000-0008-0000-0200-0000660A0000}"/>
              </a:ext>
            </a:extLst>
          </xdr:cNvPr>
          <xdr:cNvSpPr/>
        </xdr:nvSpPr>
        <xdr:spPr>
          <a:xfrm>
            <a:off x="6226105" y="107220863"/>
            <a:ext cx="26441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46973 w 2644140"/>
              <a:gd name="connsiteY17" fmla="*/ 1395413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99519 w 2644140"/>
              <a:gd name="connsiteY17" fmla="*/ 1365037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84506 w 2644140"/>
              <a:gd name="connsiteY17" fmla="*/ 1365037 h 1592580"/>
              <a:gd name="connsiteX18" fmla="*/ 2446973 w 2644140"/>
              <a:gd name="connsiteY18" fmla="*/ 212408 h 1592580"/>
              <a:gd name="connsiteX19" fmla="*/ 114708 w 2644140"/>
              <a:gd name="connsiteY19" fmla="*/ 144066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01474" y="20254"/>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15164" y="121523"/>
                </a:lnTo>
                <a:lnTo>
                  <a:pt x="60960" y="53340"/>
                </a:lnTo>
                <a:close/>
                <a:moveTo>
                  <a:pt x="114708" y="144066"/>
                </a:moveTo>
                <a:cubicBezTo>
                  <a:pt x="112206" y="551056"/>
                  <a:pt x="109703" y="958047"/>
                  <a:pt x="107201" y="1365037"/>
                </a:cubicBezTo>
                <a:lnTo>
                  <a:pt x="2484506" y="1365037"/>
                </a:lnTo>
                <a:lnTo>
                  <a:pt x="2446973" y="212408"/>
                </a:lnTo>
                <a:lnTo>
                  <a:pt x="114708" y="144066"/>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3" name="Frame 50">
            <a:extLst>
              <a:ext uri="{FF2B5EF4-FFF2-40B4-BE49-F238E27FC236}">
                <a16:creationId xmlns:a16="http://schemas.microsoft.com/office/drawing/2014/main" id="{00000000-0008-0000-0200-0000670A0000}"/>
              </a:ext>
            </a:extLst>
          </xdr:cNvPr>
          <xdr:cNvSpPr/>
        </xdr:nvSpPr>
        <xdr:spPr>
          <a:xfrm>
            <a:off x="9639638" y="107175101"/>
            <a:ext cx="26822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4 w 2644140"/>
              <a:gd name="connsiteY17" fmla="*/ 1405640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18192 w 2644140"/>
              <a:gd name="connsiteY17" fmla="*/ 1385585 h 1592580"/>
              <a:gd name="connsiteX18" fmla="*/ 2530793 w 2644140"/>
              <a:gd name="connsiteY18" fmla="*/ 204788 h 1592580"/>
              <a:gd name="connsiteX19" fmla="*/ 204788 w 2644140"/>
              <a:gd name="connsiteY19" fmla="*/ 212408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11080" y="25268"/>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0" y="141577"/>
                </a:lnTo>
                <a:lnTo>
                  <a:pt x="60960" y="53340"/>
                </a:lnTo>
                <a:close/>
                <a:moveTo>
                  <a:pt x="204788" y="212408"/>
                </a:moveTo>
                <a:lnTo>
                  <a:pt x="204788" y="1395413"/>
                </a:lnTo>
                <a:lnTo>
                  <a:pt x="2518192" y="1385585"/>
                </a:lnTo>
                <a:cubicBezTo>
                  <a:pt x="2520732" y="985301"/>
                  <a:pt x="2528253" y="605072"/>
                  <a:pt x="2530793" y="204788"/>
                </a:cubicBezTo>
                <a:lnTo>
                  <a:pt x="204788" y="212408"/>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4" name="Frame 50">
            <a:extLst>
              <a:ext uri="{FF2B5EF4-FFF2-40B4-BE49-F238E27FC236}">
                <a16:creationId xmlns:a16="http://schemas.microsoft.com/office/drawing/2014/main" id="{00000000-0008-0000-0200-0000680A0000}"/>
              </a:ext>
            </a:extLst>
          </xdr:cNvPr>
          <xdr:cNvSpPr/>
        </xdr:nvSpPr>
        <xdr:spPr>
          <a:xfrm>
            <a:off x="9632132" y="104920177"/>
            <a:ext cx="269748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8429 w 2651609"/>
              <a:gd name="connsiteY0" fmla="*/ 53340 h 1592580"/>
              <a:gd name="connsiteX1" fmla="*/ 83669 w 2651609"/>
              <a:gd name="connsiteY1" fmla="*/ 15240 h 1592580"/>
              <a:gd name="connsiteX2" fmla="*/ 197969 w 2651609"/>
              <a:gd name="connsiteY2" fmla="*/ 0 h 1592580"/>
              <a:gd name="connsiteX3" fmla="*/ 2438249 w 2651609"/>
              <a:gd name="connsiteY3" fmla="*/ 15240 h 1592580"/>
              <a:gd name="connsiteX4" fmla="*/ 2583029 w 2651609"/>
              <a:gd name="connsiteY4" fmla="*/ 83820 h 1592580"/>
              <a:gd name="connsiteX5" fmla="*/ 2643989 w 2651609"/>
              <a:gd name="connsiteY5" fmla="*/ 228600 h 1592580"/>
              <a:gd name="connsiteX6" fmla="*/ 2651609 w 2651609"/>
              <a:gd name="connsiteY6" fmla="*/ 1394460 h 1592580"/>
              <a:gd name="connsiteX7" fmla="*/ 2590649 w 2651609"/>
              <a:gd name="connsiteY7" fmla="*/ 1531620 h 1592580"/>
              <a:gd name="connsiteX8" fmla="*/ 2445869 w 2651609"/>
              <a:gd name="connsiteY8" fmla="*/ 1584960 h 1592580"/>
              <a:gd name="connsiteX9" fmla="*/ 213209 w 2651609"/>
              <a:gd name="connsiteY9" fmla="*/ 1592580 h 1592580"/>
              <a:gd name="connsiteX10" fmla="*/ 68429 w 2651609"/>
              <a:gd name="connsiteY10" fmla="*/ 1554480 h 1592580"/>
              <a:gd name="connsiteX11" fmla="*/ 7469 w 2651609"/>
              <a:gd name="connsiteY11" fmla="*/ 1371600 h 1592580"/>
              <a:gd name="connsiteX12" fmla="*/ 7469 w 2651609"/>
              <a:gd name="connsiteY12" fmla="*/ 236220 h 1592580"/>
              <a:gd name="connsiteX13" fmla="*/ 0 w 2651609"/>
              <a:gd name="connsiteY13" fmla="*/ 114300 h 1592580"/>
              <a:gd name="connsiteX14" fmla="*/ 68429 w 2651609"/>
              <a:gd name="connsiteY14" fmla="*/ 53340 h 1592580"/>
              <a:gd name="connsiteX15" fmla="*/ 212257 w 2651609"/>
              <a:gd name="connsiteY15" fmla="*/ 212408 h 1592580"/>
              <a:gd name="connsiteX16" fmla="*/ 212257 w 2651609"/>
              <a:gd name="connsiteY16" fmla="*/ 1395413 h 1592580"/>
              <a:gd name="connsiteX17" fmla="*/ 2530642 w 2651609"/>
              <a:gd name="connsiteY17" fmla="*/ 1410653 h 1592580"/>
              <a:gd name="connsiteX18" fmla="*/ 2538262 w 2651609"/>
              <a:gd name="connsiteY18" fmla="*/ 204788 h 1592580"/>
              <a:gd name="connsiteX19" fmla="*/ 212257 w 2651609"/>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7395 w 2644140"/>
              <a:gd name="connsiteY13" fmla="*/ 14939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7395 w 2644140"/>
              <a:gd name="connsiteY13" fmla="*/ 14939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10361 w 2644140"/>
              <a:gd name="connsiteY4" fmla="*/ 47332 h 1592580"/>
              <a:gd name="connsiteX5" fmla="*/ 2575560 w 2644140"/>
              <a:gd name="connsiteY5" fmla="*/ 83820 h 1592580"/>
              <a:gd name="connsiteX6" fmla="*/ 2636520 w 2644140"/>
              <a:gd name="connsiteY6" fmla="*/ 228600 h 1592580"/>
              <a:gd name="connsiteX7" fmla="*/ 2644140 w 2644140"/>
              <a:gd name="connsiteY7" fmla="*/ 1394460 h 1592580"/>
              <a:gd name="connsiteX8" fmla="*/ 2583180 w 2644140"/>
              <a:gd name="connsiteY8" fmla="*/ 1531620 h 1592580"/>
              <a:gd name="connsiteX9" fmla="*/ 2438400 w 2644140"/>
              <a:gd name="connsiteY9" fmla="*/ 1584960 h 1592580"/>
              <a:gd name="connsiteX10" fmla="*/ 205740 w 2644140"/>
              <a:gd name="connsiteY10" fmla="*/ 1592580 h 1592580"/>
              <a:gd name="connsiteX11" fmla="*/ 60960 w 2644140"/>
              <a:gd name="connsiteY11" fmla="*/ 1554480 h 1592580"/>
              <a:gd name="connsiteX12" fmla="*/ 0 w 2644140"/>
              <a:gd name="connsiteY12" fmla="*/ 1371600 h 1592580"/>
              <a:gd name="connsiteX13" fmla="*/ 0 w 2644140"/>
              <a:gd name="connsiteY13" fmla="*/ 236220 h 1592580"/>
              <a:gd name="connsiteX14" fmla="*/ 7395 w 2644140"/>
              <a:gd name="connsiteY14" fmla="*/ 149396 h 1592580"/>
              <a:gd name="connsiteX15" fmla="*/ 60960 w 2644140"/>
              <a:gd name="connsiteY15" fmla="*/ 53340 h 1592580"/>
              <a:gd name="connsiteX16" fmla="*/ 204788 w 2644140"/>
              <a:gd name="connsiteY16" fmla="*/ 212408 h 1592580"/>
              <a:gd name="connsiteX17" fmla="*/ 204788 w 2644140"/>
              <a:gd name="connsiteY17" fmla="*/ 1395413 h 1592580"/>
              <a:gd name="connsiteX18" fmla="*/ 2523173 w 2644140"/>
              <a:gd name="connsiteY18" fmla="*/ 1410653 h 1592580"/>
              <a:gd name="connsiteX19" fmla="*/ 2530793 w 2644140"/>
              <a:gd name="connsiteY19" fmla="*/ 204788 h 1592580"/>
              <a:gd name="connsiteX20" fmla="*/ 204788 w 2644140"/>
              <a:gd name="connsiteY20"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10361 w 2644140"/>
              <a:gd name="connsiteY4" fmla="*/ 47332 h 1592580"/>
              <a:gd name="connsiteX5" fmla="*/ 2575560 w 2644140"/>
              <a:gd name="connsiteY5" fmla="*/ 83820 h 1592580"/>
              <a:gd name="connsiteX6" fmla="*/ 2604502 w 2644140"/>
              <a:gd name="connsiteY6" fmla="*/ 147606 h 1592580"/>
              <a:gd name="connsiteX7" fmla="*/ 2636520 w 2644140"/>
              <a:gd name="connsiteY7" fmla="*/ 228600 h 1592580"/>
              <a:gd name="connsiteX8" fmla="*/ 2644140 w 2644140"/>
              <a:gd name="connsiteY8" fmla="*/ 1394460 h 1592580"/>
              <a:gd name="connsiteX9" fmla="*/ 2583180 w 2644140"/>
              <a:gd name="connsiteY9" fmla="*/ 1531620 h 1592580"/>
              <a:gd name="connsiteX10" fmla="*/ 2438400 w 2644140"/>
              <a:gd name="connsiteY10" fmla="*/ 1584960 h 1592580"/>
              <a:gd name="connsiteX11" fmla="*/ 205740 w 2644140"/>
              <a:gd name="connsiteY11" fmla="*/ 1592580 h 1592580"/>
              <a:gd name="connsiteX12" fmla="*/ 60960 w 2644140"/>
              <a:gd name="connsiteY12" fmla="*/ 1554480 h 1592580"/>
              <a:gd name="connsiteX13" fmla="*/ 0 w 2644140"/>
              <a:gd name="connsiteY13" fmla="*/ 1371600 h 1592580"/>
              <a:gd name="connsiteX14" fmla="*/ 0 w 2644140"/>
              <a:gd name="connsiteY14" fmla="*/ 236220 h 1592580"/>
              <a:gd name="connsiteX15" fmla="*/ 7395 w 2644140"/>
              <a:gd name="connsiteY15" fmla="*/ 149396 h 1592580"/>
              <a:gd name="connsiteX16" fmla="*/ 60960 w 2644140"/>
              <a:gd name="connsiteY16" fmla="*/ 53340 h 1592580"/>
              <a:gd name="connsiteX17" fmla="*/ 204788 w 2644140"/>
              <a:gd name="connsiteY17" fmla="*/ 212408 h 1592580"/>
              <a:gd name="connsiteX18" fmla="*/ 204788 w 2644140"/>
              <a:gd name="connsiteY18" fmla="*/ 1395413 h 1592580"/>
              <a:gd name="connsiteX19" fmla="*/ 2523173 w 2644140"/>
              <a:gd name="connsiteY19" fmla="*/ 1410653 h 1592580"/>
              <a:gd name="connsiteX20" fmla="*/ 2530793 w 2644140"/>
              <a:gd name="connsiteY20" fmla="*/ 204788 h 1592580"/>
              <a:gd name="connsiteX21" fmla="*/ 204788 w 2644140"/>
              <a:gd name="connsiteY21" fmla="*/ 212408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Lst>
            <a:rect l="l" t="t" r="r" b="b"/>
            <a:pathLst>
              <a:path w="2644140" h="1592580">
                <a:moveTo>
                  <a:pt x="60960" y="53340"/>
                </a:moveTo>
                <a:lnTo>
                  <a:pt x="115838" y="20254"/>
                </a:lnTo>
                <a:lnTo>
                  <a:pt x="190500" y="0"/>
                </a:lnTo>
                <a:lnTo>
                  <a:pt x="2430780" y="15240"/>
                </a:lnTo>
                <a:lnTo>
                  <a:pt x="2510361" y="47332"/>
                </a:lnTo>
                <a:lnTo>
                  <a:pt x="2575560" y="83820"/>
                </a:lnTo>
                <a:lnTo>
                  <a:pt x="2604502" y="147606"/>
                </a:lnTo>
                <a:lnTo>
                  <a:pt x="2636520" y="228600"/>
                </a:lnTo>
                <a:lnTo>
                  <a:pt x="2644140" y="1394460"/>
                </a:lnTo>
                <a:lnTo>
                  <a:pt x="2583180" y="1531620"/>
                </a:lnTo>
                <a:lnTo>
                  <a:pt x="2438400" y="1584960"/>
                </a:lnTo>
                <a:lnTo>
                  <a:pt x="205740" y="1592580"/>
                </a:lnTo>
                <a:lnTo>
                  <a:pt x="60960" y="1554480"/>
                </a:lnTo>
                <a:lnTo>
                  <a:pt x="0" y="1371600"/>
                </a:lnTo>
                <a:lnTo>
                  <a:pt x="0" y="236220"/>
                </a:lnTo>
                <a:lnTo>
                  <a:pt x="7395" y="149396"/>
                </a:lnTo>
                <a:lnTo>
                  <a:pt x="60960" y="53340"/>
                </a:lnTo>
                <a:close/>
                <a:moveTo>
                  <a:pt x="204788" y="212408"/>
                </a:moveTo>
                <a:lnTo>
                  <a:pt x="204788" y="1395413"/>
                </a:lnTo>
                <a:lnTo>
                  <a:pt x="2523173" y="1410653"/>
                </a:lnTo>
                <a:lnTo>
                  <a:pt x="2530793" y="204788"/>
                </a:lnTo>
                <a:lnTo>
                  <a:pt x="204788" y="212408"/>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100">
                <a:solidFill>
                  <a:schemeClr val="tx1"/>
                </a:solidFill>
              </a:rPr>
              <a:t> </a:t>
            </a:r>
          </a:p>
        </xdr:txBody>
      </xdr:sp>
      <xdr:sp macro="" textlink="">
        <xdr:nvSpPr>
          <xdr:cNvPr id="2665" name="Freeform: Shape 2664">
            <a:extLst>
              <a:ext uri="{FF2B5EF4-FFF2-40B4-BE49-F238E27FC236}">
                <a16:creationId xmlns:a16="http://schemas.microsoft.com/office/drawing/2014/main" id="{00000000-0008-0000-0200-0000690A0000}"/>
              </a:ext>
            </a:extLst>
          </xdr:cNvPr>
          <xdr:cNvSpPr/>
        </xdr:nvSpPr>
        <xdr:spPr>
          <a:xfrm>
            <a:off x="7871460" y="10651236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6" name="Freeform: Shape 2665">
            <a:extLst>
              <a:ext uri="{FF2B5EF4-FFF2-40B4-BE49-F238E27FC236}">
                <a16:creationId xmlns:a16="http://schemas.microsoft.com/office/drawing/2014/main" id="{00000000-0008-0000-0200-00006A0A0000}"/>
              </a:ext>
            </a:extLst>
          </xdr:cNvPr>
          <xdr:cNvSpPr/>
        </xdr:nvSpPr>
        <xdr:spPr>
          <a:xfrm flipH="1">
            <a:off x="9806940" y="10650474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7" name="Freeform: Shape 2666">
            <a:extLst>
              <a:ext uri="{FF2B5EF4-FFF2-40B4-BE49-F238E27FC236}">
                <a16:creationId xmlns:a16="http://schemas.microsoft.com/office/drawing/2014/main" id="{00000000-0008-0000-0200-00006B0A0000}"/>
              </a:ext>
            </a:extLst>
          </xdr:cNvPr>
          <xdr:cNvSpPr/>
        </xdr:nvSpPr>
        <xdr:spPr>
          <a:xfrm flipV="1">
            <a:off x="7871460" y="10689336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8" name="Freeform: Shape 2667">
            <a:extLst>
              <a:ext uri="{FF2B5EF4-FFF2-40B4-BE49-F238E27FC236}">
                <a16:creationId xmlns:a16="http://schemas.microsoft.com/office/drawing/2014/main" id="{00000000-0008-0000-0200-00006C0A0000}"/>
              </a:ext>
            </a:extLst>
          </xdr:cNvPr>
          <xdr:cNvSpPr/>
        </xdr:nvSpPr>
        <xdr:spPr>
          <a:xfrm flipH="1" flipV="1">
            <a:off x="9806940" y="10688574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38100</xdr:colOff>
      <xdr:row>1331</xdr:row>
      <xdr:rowOff>0</xdr:rowOff>
    </xdr:from>
    <xdr:to>
      <xdr:col>13</xdr:col>
      <xdr:colOff>99060</xdr:colOff>
      <xdr:row>1333</xdr:row>
      <xdr:rowOff>129539</xdr:rowOff>
    </xdr:to>
    <xdr:sp macro="" textlink="">
      <xdr:nvSpPr>
        <xdr:cNvPr id="2673" name="TextBox 2672">
          <a:extLst>
            <a:ext uri="{FF2B5EF4-FFF2-40B4-BE49-F238E27FC236}">
              <a16:creationId xmlns:a16="http://schemas.microsoft.com/office/drawing/2014/main" id="{00000000-0008-0000-0200-0000710A0000}"/>
            </a:ext>
          </a:extLst>
        </xdr:cNvPr>
        <xdr:cNvSpPr txBox="1"/>
      </xdr:nvSpPr>
      <xdr:spPr>
        <a:xfrm>
          <a:off x="6316980" y="96697800"/>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Arial Narrow" panose="020B0606020202030204" pitchFamily="34" charset="0"/>
            </a:rPr>
            <a:t>Alienation is normal for larger "secondary" societies like ours. We typically we remain estranged, so rely on impersonal laws to guide a minimal standard for treating each other. Let's engage each other more.</a:t>
          </a:r>
        </a:p>
      </xdr:txBody>
    </xdr:sp>
    <xdr:clientData/>
  </xdr:twoCellAnchor>
  <xdr:twoCellAnchor>
    <xdr:from>
      <xdr:col>0</xdr:col>
      <xdr:colOff>30480</xdr:colOff>
      <xdr:row>1425</xdr:row>
      <xdr:rowOff>0</xdr:rowOff>
    </xdr:from>
    <xdr:to>
      <xdr:col>13</xdr:col>
      <xdr:colOff>91440</xdr:colOff>
      <xdr:row>1427</xdr:row>
      <xdr:rowOff>129539</xdr:rowOff>
    </xdr:to>
    <xdr:sp macro="" textlink="">
      <xdr:nvSpPr>
        <xdr:cNvPr id="2674" name="TextBox 2673">
          <a:extLst>
            <a:ext uri="{FF2B5EF4-FFF2-40B4-BE49-F238E27FC236}">
              <a16:creationId xmlns:a16="http://schemas.microsoft.com/office/drawing/2014/main" id="{00000000-0008-0000-0200-0000720A0000}"/>
            </a:ext>
          </a:extLst>
        </xdr:cNvPr>
        <xdr:cNvSpPr txBox="1"/>
      </xdr:nvSpPr>
      <xdr:spPr>
        <a:xfrm>
          <a:off x="6309360" y="114406680"/>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pc="-10" baseline="0">
              <a:latin typeface="Arial Narrow" panose="020B0606020202030204" pitchFamily="34" charset="0"/>
            </a:rPr>
            <a:t>Polarization crops up between extreme positions. Conflict loves extremes. Exaggerations kill conversations. Let's look for and appreciate the value in each other.</a:t>
          </a:r>
        </a:p>
      </xdr:txBody>
    </xdr:sp>
    <xdr:clientData/>
  </xdr:twoCellAnchor>
  <xdr:twoCellAnchor>
    <xdr:from>
      <xdr:col>1</xdr:col>
      <xdr:colOff>7620</xdr:colOff>
      <xdr:row>1302</xdr:row>
      <xdr:rowOff>99907</xdr:rowOff>
    </xdr:from>
    <xdr:to>
      <xdr:col>13</xdr:col>
      <xdr:colOff>7620</xdr:colOff>
      <xdr:row>1304</xdr:row>
      <xdr:rowOff>7620</xdr:rowOff>
    </xdr:to>
    <xdr:sp macro="" textlink="">
      <xdr:nvSpPr>
        <xdr:cNvPr id="2675" name="TextBox 2674">
          <a:extLst>
            <a:ext uri="{FF2B5EF4-FFF2-40B4-BE49-F238E27FC236}">
              <a16:creationId xmlns:a16="http://schemas.microsoft.com/office/drawing/2014/main" id="{00000000-0008-0000-0200-0000730A0000}"/>
            </a:ext>
          </a:extLst>
        </xdr:cNvPr>
        <xdr:cNvSpPr txBox="1"/>
      </xdr:nvSpPr>
      <xdr:spPr>
        <a:xfrm>
          <a:off x="6408420" y="91296067"/>
          <a:ext cx="6035040" cy="2734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000" b="1" baseline="0">
              <a:solidFill>
                <a:schemeClr val="accent4">
                  <a:lumMod val="50000"/>
                </a:schemeClr>
              </a:solidFill>
              <a:latin typeface="Arial Narrow" panose="020B0606020202030204" pitchFamily="34" charset="0"/>
              <a:ea typeface="Verdana" panose="020B0604030504040204" pitchFamily="34" charset="0"/>
            </a:rPr>
            <a:t>CHANGE ISSUE ABOVE TO CHANGE IT HERE</a:t>
          </a:r>
          <a:endParaRPr lang="en-US" sz="900" b="1" baseline="0">
            <a:solidFill>
              <a:schemeClr val="accent4">
                <a:lumMod val="50000"/>
              </a:schemeClr>
            </a:solidFill>
            <a:latin typeface="Arial Narrow" panose="020B0606020202030204" pitchFamily="34" charset="0"/>
          </a:endParaRPr>
        </a:p>
      </xdr:txBody>
    </xdr:sp>
    <xdr:clientData/>
  </xdr:twoCellAnchor>
  <xdr:twoCellAnchor>
    <xdr:from>
      <xdr:col>1</xdr:col>
      <xdr:colOff>38100</xdr:colOff>
      <xdr:row>1124</xdr:row>
      <xdr:rowOff>106680</xdr:rowOff>
    </xdr:from>
    <xdr:to>
      <xdr:col>12</xdr:col>
      <xdr:colOff>457200</xdr:colOff>
      <xdr:row>1124</xdr:row>
      <xdr:rowOff>349504</xdr:rowOff>
    </xdr:to>
    <xdr:grpSp>
      <xdr:nvGrpSpPr>
        <xdr:cNvPr id="2683" name="Group 2682">
          <a:extLst>
            <a:ext uri="{FF2B5EF4-FFF2-40B4-BE49-F238E27FC236}">
              <a16:creationId xmlns:a16="http://schemas.microsoft.com/office/drawing/2014/main" id="{00000000-0008-0000-0200-00007B0A0000}"/>
            </a:ext>
          </a:extLst>
        </xdr:cNvPr>
        <xdr:cNvGrpSpPr/>
      </xdr:nvGrpSpPr>
      <xdr:grpSpPr>
        <a:xfrm>
          <a:off x="152400" y="223867980"/>
          <a:ext cx="5951220" cy="242824"/>
          <a:chOff x="6347220" y="28404120"/>
          <a:chExt cx="5867400" cy="242824"/>
        </a:xfrm>
      </xdr:grpSpPr>
      <xdr:grpSp>
        <xdr:nvGrpSpPr>
          <xdr:cNvPr id="2684" name="wide-yet-shallow scale">
            <a:extLst>
              <a:ext uri="{FF2B5EF4-FFF2-40B4-BE49-F238E27FC236}">
                <a16:creationId xmlns:a16="http://schemas.microsoft.com/office/drawing/2014/main" id="{00000000-0008-0000-0200-00007C0A0000}"/>
              </a:ext>
            </a:extLst>
          </xdr:cNvPr>
          <xdr:cNvGrpSpPr>
            <a:grpSpLocks noChangeAspect="1"/>
          </xdr:cNvGrpSpPr>
        </xdr:nvGrpSpPr>
        <xdr:grpSpPr>
          <a:xfrm>
            <a:off x="6347220" y="28404120"/>
            <a:ext cx="914400" cy="242824"/>
            <a:chOff x="6434667" y="11251493"/>
            <a:chExt cx="2726265" cy="722264"/>
          </a:xfrm>
          <a:effectLst>
            <a:outerShdw blurRad="63500" sx="102000" sy="102000" algn="ctr" rotWithShape="0">
              <a:prstClr val="black">
                <a:alpha val="40000"/>
              </a:prstClr>
            </a:outerShdw>
          </a:effectLst>
        </xdr:grpSpPr>
        <xdr:sp macro="" textlink="">
          <xdr:nvSpPr>
            <xdr:cNvPr id="2710" name="Right Brace 2709">
              <a:extLst>
                <a:ext uri="{FF2B5EF4-FFF2-40B4-BE49-F238E27FC236}">
                  <a16:creationId xmlns:a16="http://schemas.microsoft.com/office/drawing/2014/main" id="{00000000-0008-0000-0200-0000960A0000}"/>
                </a:ext>
              </a:extLst>
            </xdr:cNvPr>
            <xdr:cNvSpPr/>
          </xdr:nvSpPr>
          <xdr:spPr>
            <a:xfrm rot="63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11" name="Right Bracket 2710">
              <a:extLst>
                <a:ext uri="{FF2B5EF4-FFF2-40B4-BE49-F238E27FC236}">
                  <a16:creationId xmlns:a16="http://schemas.microsoft.com/office/drawing/2014/main" id="{00000000-0008-0000-0200-0000970A0000}"/>
                </a:ext>
              </a:extLst>
            </xdr:cNvPr>
            <xdr:cNvSpPr/>
          </xdr:nvSpPr>
          <xdr:spPr>
            <a:xfrm rot="5400000">
              <a:off x="6850803" y="10835357"/>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12" name="Right Bracket 2711">
              <a:extLst>
                <a:ext uri="{FF2B5EF4-FFF2-40B4-BE49-F238E27FC236}">
                  <a16:creationId xmlns:a16="http://schemas.microsoft.com/office/drawing/2014/main" id="{00000000-0008-0000-0200-0000980A0000}"/>
                </a:ext>
              </a:extLst>
            </xdr:cNvPr>
            <xdr:cNvSpPr/>
          </xdr:nvSpPr>
          <xdr:spPr>
            <a:xfrm rot="5400000">
              <a:off x="8662669" y="1129331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13" name="Flowchart: Delay 2712">
              <a:extLst>
                <a:ext uri="{FF2B5EF4-FFF2-40B4-BE49-F238E27FC236}">
                  <a16:creationId xmlns:a16="http://schemas.microsoft.com/office/drawing/2014/main" id="{00000000-0008-0000-0200-000099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5" name="wide-then-deep scale">
            <a:extLst>
              <a:ext uri="{FF2B5EF4-FFF2-40B4-BE49-F238E27FC236}">
                <a16:creationId xmlns:a16="http://schemas.microsoft.com/office/drawing/2014/main" id="{00000000-0008-0000-0200-00007D0A0000}"/>
              </a:ext>
            </a:extLst>
          </xdr:cNvPr>
          <xdr:cNvGrpSpPr>
            <a:grpSpLocks noChangeAspect="1"/>
          </xdr:cNvGrpSpPr>
        </xdr:nvGrpSpPr>
        <xdr:grpSpPr>
          <a:xfrm>
            <a:off x="7337820" y="28442199"/>
            <a:ext cx="914400" cy="204724"/>
            <a:chOff x="6434667" y="11364816"/>
            <a:chExt cx="2726265" cy="608941"/>
          </a:xfrm>
          <a:effectLst>
            <a:outerShdw blurRad="63500" sx="102000" sy="102000" algn="ctr" rotWithShape="0">
              <a:prstClr val="black">
                <a:alpha val="40000"/>
              </a:prstClr>
            </a:outerShdw>
          </a:effectLst>
        </xdr:grpSpPr>
        <xdr:sp macro="" textlink="">
          <xdr:nvSpPr>
            <xdr:cNvPr id="2706" name="Right Brace 2705">
              <a:extLst>
                <a:ext uri="{FF2B5EF4-FFF2-40B4-BE49-F238E27FC236}">
                  <a16:creationId xmlns:a16="http://schemas.microsoft.com/office/drawing/2014/main" id="{00000000-0008-0000-0200-0000920A0000}"/>
                </a:ext>
              </a:extLst>
            </xdr:cNvPr>
            <xdr:cNvSpPr/>
          </xdr:nvSpPr>
          <xdr:spPr>
            <a:xfrm rot="60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07" name="Right Bracket 2706">
              <a:extLst>
                <a:ext uri="{FF2B5EF4-FFF2-40B4-BE49-F238E27FC236}">
                  <a16:creationId xmlns:a16="http://schemas.microsoft.com/office/drawing/2014/main" id="{00000000-0008-0000-0200-0000930A0000}"/>
                </a:ext>
              </a:extLst>
            </xdr:cNvPr>
            <xdr:cNvSpPr/>
          </xdr:nvSpPr>
          <xdr:spPr>
            <a:xfrm rot="5400000">
              <a:off x="6850803" y="10948680"/>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8" name="Right Bracket 2707">
              <a:extLst>
                <a:ext uri="{FF2B5EF4-FFF2-40B4-BE49-F238E27FC236}">
                  <a16:creationId xmlns:a16="http://schemas.microsoft.com/office/drawing/2014/main" id="{00000000-0008-0000-0200-0000940A0000}"/>
                </a:ext>
              </a:extLst>
            </xdr:cNvPr>
            <xdr:cNvSpPr/>
          </xdr:nvSpPr>
          <xdr:spPr>
            <a:xfrm rot="5400000">
              <a:off x="8662668" y="11202661"/>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9" name="Flowchart: Delay 2708">
              <a:extLst>
                <a:ext uri="{FF2B5EF4-FFF2-40B4-BE49-F238E27FC236}">
                  <a16:creationId xmlns:a16="http://schemas.microsoft.com/office/drawing/2014/main" id="{00000000-0008-0000-0200-000095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6" name="wide-and-deep scale">
            <a:extLst>
              <a:ext uri="{FF2B5EF4-FFF2-40B4-BE49-F238E27FC236}">
                <a16:creationId xmlns:a16="http://schemas.microsoft.com/office/drawing/2014/main" id="{00000000-0008-0000-0200-00007E0A0000}"/>
              </a:ext>
            </a:extLst>
          </xdr:cNvPr>
          <xdr:cNvGrpSpPr>
            <a:grpSpLocks noChangeAspect="1"/>
          </xdr:cNvGrpSpPr>
        </xdr:nvGrpSpPr>
        <xdr:grpSpPr>
          <a:xfrm>
            <a:off x="8326242" y="28453636"/>
            <a:ext cx="914400" cy="193294"/>
            <a:chOff x="6434667" y="11398815"/>
            <a:chExt cx="2726265" cy="574942"/>
          </a:xfrm>
          <a:effectLst>
            <a:outerShdw blurRad="63500" sx="102000" sy="102000" algn="ctr" rotWithShape="0">
              <a:prstClr val="black">
                <a:alpha val="40000"/>
              </a:prstClr>
            </a:outerShdw>
          </a:effectLst>
        </xdr:grpSpPr>
        <xdr:sp macro="" textlink="">
          <xdr:nvSpPr>
            <xdr:cNvPr id="2702" name="Right Brace 2701">
              <a:extLst>
                <a:ext uri="{FF2B5EF4-FFF2-40B4-BE49-F238E27FC236}">
                  <a16:creationId xmlns:a16="http://schemas.microsoft.com/office/drawing/2014/main" id="{00000000-0008-0000-0200-00008E0A0000}"/>
                </a:ext>
              </a:extLst>
            </xdr:cNvPr>
            <xdr:cNvSpPr/>
          </xdr:nvSpPr>
          <xdr:spPr>
            <a:xfrm rot="57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03" name="Right Bracket 2702">
              <a:extLst>
                <a:ext uri="{FF2B5EF4-FFF2-40B4-BE49-F238E27FC236}">
                  <a16:creationId xmlns:a16="http://schemas.microsoft.com/office/drawing/2014/main" id="{00000000-0008-0000-0200-00008F0A0000}"/>
                </a:ext>
              </a:extLst>
            </xdr:cNvPr>
            <xdr:cNvSpPr/>
          </xdr:nvSpPr>
          <xdr:spPr>
            <a:xfrm rot="5400000">
              <a:off x="6850803" y="1098267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4" name="Right Bracket 2703">
              <a:extLst>
                <a:ext uri="{FF2B5EF4-FFF2-40B4-BE49-F238E27FC236}">
                  <a16:creationId xmlns:a16="http://schemas.microsoft.com/office/drawing/2014/main" id="{00000000-0008-0000-0200-0000900A0000}"/>
                </a:ext>
              </a:extLst>
            </xdr:cNvPr>
            <xdr:cNvSpPr/>
          </xdr:nvSpPr>
          <xdr:spPr>
            <a:xfrm rot="5400000">
              <a:off x="8662669" y="1115732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5" name="Flowchart: Delay 2704">
              <a:extLst>
                <a:ext uri="{FF2B5EF4-FFF2-40B4-BE49-F238E27FC236}">
                  <a16:creationId xmlns:a16="http://schemas.microsoft.com/office/drawing/2014/main" id="{00000000-0008-0000-0200-000091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7" name="deep-and-wide scale">
            <a:extLst>
              <a:ext uri="{FF2B5EF4-FFF2-40B4-BE49-F238E27FC236}">
                <a16:creationId xmlns:a16="http://schemas.microsoft.com/office/drawing/2014/main" id="{00000000-0008-0000-0200-00007F0A0000}"/>
              </a:ext>
            </a:extLst>
          </xdr:cNvPr>
          <xdr:cNvGrpSpPr>
            <a:grpSpLocks noChangeAspect="1"/>
          </xdr:cNvGrpSpPr>
        </xdr:nvGrpSpPr>
        <xdr:grpSpPr>
          <a:xfrm flipH="1">
            <a:off x="9320652" y="28453636"/>
            <a:ext cx="914400" cy="193294"/>
            <a:chOff x="6434667" y="11398815"/>
            <a:chExt cx="2726265" cy="574942"/>
          </a:xfrm>
          <a:effectLst>
            <a:outerShdw blurRad="63500" sx="102000" sy="102000" algn="ctr" rotWithShape="0">
              <a:prstClr val="black">
                <a:alpha val="40000"/>
              </a:prstClr>
            </a:outerShdw>
          </a:effectLst>
        </xdr:grpSpPr>
        <xdr:sp macro="" textlink="">
          <xdr:nvSpPr>
            <xdr:cNvPr id="2698" name="Right Brace 2697">
              <a:extLst>
                <a:ext uri="{FF2B5EF4-FFF2-40B4-BE49-F238E27FC236}">
                  <a16:creationId xmlns:a16="http://schemas.microsoft.com/office/drawing/2014/main" id="{00000000-0008-0000-0200-00008A0A0000}"/>
                </a:ext>
              </a:extLst>
            </xdr:cNvPr>
            <xdr:cNvSpPr/>
          </xdr:nvSpPr>
          <xdr:spPr>
            <a:xfrm rot="57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9" name="Right Bracket 2698">
              <a:extLst>
                <a:ext uri="{FF2B5EF4-FFF2-40B4-BE49-F238E27FC236}">
                  <a16:creationId xmlns:a16="http://schemas.microsoft.com/office/drawing/2014/main" id="{00000000-0008-0000-0200-00008B0A0000}"/>
                </a:ext>
              </a:extLst>
            </xdr:cNvPr>
            <xdr:cNvSpPr/>
          </xdr:nvSpPr>
          <xdr:spPr>
            <a:xfrm rot="5400000">
              <a:off x="6850803" y="1098267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0" name="Right Bracket 2699">
              <a:extLst>
                <a:ext uri="{FF2B5EF4-FFF2-40B4-BE49-F238E27FC236}">
                  <a16:creationId xmlns:a16="http://schemas.microsoft.com/office/drawing/2014/main" id="{00000000-0008-0000-0200-00008C0A0000}"/>
                </a:ext>
              </a:extLst>
            </xdr:cNvPr>
            <xdr:cNvSpPr/>
          </xdr:nvSpPr>
          <xdr:spPr>
            <a:xfrm rot="5400000">
              <a:off x="8662669" y="1115732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1" name="Flowchart: Delay 2700">
              <a:extLst>
                <a:ext uri="{FF2B5EF4-FFF2-40B4-BE49-F238E27FC236}">
                  <a16:creationId xmlns:a16="http://schemas.microsoft.com/office/drawing/2014/main" id="{00000000-0008-0000-0200-00008D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8" name="deep-then-wide scale">
            <a:extLst>
              <a:ext uri="{FF2B5EF4-FFF2-40B4-BE49-F238E27FC236}">
                <a16:creationId xmlns:a16="http://schemas.microsoft.com/office/drawing/2014/main" id="{00000000-0008-0000-0200-0000800A0000}"/>
              </a:ext>
            </a:extLst>
          </xdr:cNvPr>
          <xdr:cNvGrpSpPr>
            <a:grpSpLocks noChangeAspect="1"/>
          </xdr:cNvGrpSpPr>
        </xdr:nvGrpSpPr>
        <xdr:grpSpPr>
          <a:xfrm flipH="1">
            <a:off x="10309620" y="28442199"/>
            <a:ext cx="914400" cy="204724"/>
            <a:chOff x="6434667" y="11364816"/>
            <a:chExt cx="2726265" cy="608941"/>
          </a:xfrm>
          <a:effectLst>
            <a:outerShdw blurRad="63500" sx="102000" sy="102000" algn="ctr" rotWithShape="0">
              <a:prstClr val="black">
                <a:alpha val="40000"/>
              </a:prstClr>
            </a:outerShdw>
          </a:effectLst>
        </xdr:grpSpPr>
        <xdr:sp macro="" textlink="">
          <xdr:nvSpPr>
            <xdr:cNvPr id="2694" name="Right Brace 2693">
              <a:extLst>
                <a:ext uri="{FF2B5EF4-FFF2-40B4-BE49-F238E27FC236}">
                  <a16:creationId xmlns:a16="http://schemas.microsoft.com/office/drawing/2014/main" id="{00000000-0008-0000-0200-0000860A0000}"/>
                </a:ext>
              </a:extLst>
            </xdr:cNvPr>
            <xdr:cNvSpPr/>
          </xdr:nvSpPr>
          <xdr:spPr>
            <a:xfrm rot="60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5" name="Right Bracket 2694">
              <a:extLst>
                <a:ext uri="{FF2B5EF4-FFF2-40B4-BE49-F238E27FC236}">
                  <a16:creationId xmlns:a16="http://schemas.microsoft.com/office/drawing/2014/main" id="{00000000-0008-0000-0200-0000870A0000}"/>
                </a:ext>
              </a:extLst>
            </xdr:cNvPr>
            <xdr:cNvSpPr/>
          </xdr:nvSpPr>
          <xdr:spPr>
            <a:xfrm rot="5400000">
              <a:off x="6850803" y="10948680"/>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6" name="Right Bracket 2695">
              <a:extLst>
                <a:ext uri="{FF2B5EF4-FFF2-40B4-BE49-F238E27FC236}">
                  <a16:creationId xmlns:a16="http://schemas.microsoft.com/office/drawing/2014/main" id="{00000000-0008-0000-0200-0000880A0000}"/>
                </a:ext>
              </a:extLst>
            </xdr:cNvPr>
            <xdr:cNvSpPr/>
          </xdr:nvSpPr>
          <xdr:spPr>
            <a:xfrm rot="5400000">
              <a:off x="8662668" y="11202661"/>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7" name="Flowchart: Delay 2696">
              <a:extLst>
                <a:ext uri="{FF2B5EF4-FFF2-40B4-BE49-F238E27FC236}">
                  <a16:creationId xmlns:a16="http://schemas.microsoft.com/office/drawing/2014/main" id="{00000000-0008-0000-0200-000089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9" name="deep-yet-narrow scale">
            <a:extLst>
              <a:ext uri="{FF2B5EF4-FFF2-40B4-BE49-F238E27FC236}">
                <a16:creationId xmlns:a16="http://schemas.microsoft.com/office/drawing/2014/main" id="{00000000-0008-0000-0200-0000810A0000}"/>
              </a:ext>
            </a:extLst>
          </xdr:cNvPr>
          <xdr:cNvGrpSpPr>
            <a:grpSpLocks noChangeAspect="1"/>
          </xdr:cNvGrpSpPr>
        </xdr:nvGrpSpPr>
        <xdr:grpSpPr>
          <a:xfrm flipH="1">
            <a:off x="11300220" y="28404120"/>
            <a:ext cx="914400" cy="242824"/>
            <a:chOff x="6434667" y="11251493"/>
            <a:chExt cx="2726265" cy="722264"/>
          </a:xfrm>
          <a:effectLst>
            <a:outerShdw blurRad="63500" sx="102000" sy="102000" algn="ctr" rotWithShape="0">
              <a:prstClr val="black">
                <a:alpha val="40000"/>
              </a:prstClr>
            </a:outerShdw>
          </a:effectLst>
        </xdr:grpSpPr>
        <xdr:sp macro="" textlink="">
          <xdr:nvSpPr>
            <xdr:cNvPr id="2690" name="Right Brace 2689">
              <a:extLst>
                <a:ext uri="{FF2B5EF4-FFF2-40B4-BE49-F238E27FC236}">
                  <a16:creationId xmlns:a16="http://schemas.microsoft.com/office/drawing/2014/main" id="{00000000-0008-0000-0200-0000820A0000}"/>
                </a:ext>
              </a:extLst>
            </xdr:cNvPr>
            <xdr:cNvSpPr/>
          </xdr:nvSpPr>
          <xdr:spPr>
            <a:xfrm rot="63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1" name="Right Bracket 2690">
              <a:extLst>
                <a:ext uri="{FF2B5EF4-FFF2-40B4-BE49-F238E27FC236}">
                  <a16:creationId xmlns:a16="http://schemas.microsoft.com/office/drawing/2014/main" id="{00000000-0008-0000-0200-0000830A0000}"/>
                </a:ext>
              </a:extLst>
            </xdr:cNvPr>
            <xdr:cNvSpPr/>
          </xdr:nvSpPr>
          <xdr:spPr>
            <a:xfrm rot="5400000">
              <a:off x="6850803" y="10835357"/>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2" name="Right Bracket 2691">
              <a:extLst>
                <a:ext uri="{FF2B5EF4-FFF2-40B4-BE49-F238E27FC236}">
                  <a16:creationId xmlns:a16="http://schemas.microsoft.com/office/drawing/2014/main" id="{00000000-0008-0000-0200-0000840A0000}"/>
                </a:ext>
              </a:extLst>
            </xdr:cNvPr>
            <xdr:cNvSpPr/>
          </xdr:nvSpPr>
          <xdr:spPr>
            <a:xfrm rot="5400000">
              <a:off x="8662669" y="1129331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3" name="Flowchart: Delay 2692">
              <a:extLst>
                <a:ext uri="{FF2B5EF4-FFF2-40B4-BE49-F238E27FC236}">
                  <a16:creationId xmlns:a16="http://schemas.microsoft.com/office/drawing/2014/main" id="{00000000-0008-0000-0200-000085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clientData/>
  </xdr:twoCellAnchor>
  <xdr:twoCellAnchor>
    <xdr:from>
      <xdr:col>7</xdr:col>
      <xdr:colOff>482235</xdr:colOff>
      <xdr:row>462</xdr:row>
      <xdr:rowOff>16371</xdr:rowOff>
    </xdr:from>
    <xdr:to>
      <xdr:col>12</xdr:col>
      <xdr:colOff>474615</xdr:colOff>
      <xdr:row>465</xdr:row>
      <xdr:rowOff>107811</xdr:rowOff>
    </xdr:to>
    <xdr:sp macro="" textlink="">
      <xdr:nvSpPr>
        <xdr:cNvPr id="2716" name="Government serves best when it serves least.">
          <a:extLst>
            <a:ext uri="{FF2B5EF4-FFF2-40B4-BE49-F238E27FC236}">
              <a16:creationId xmlns:a16="http://schemas.microsoft.com/office/drawing/2014/main" id="{00000000-0008-0000-0200-00009C0A0000}"/>
            </a:ext>
          </a:extLst>
        </xdr:cNvPr>
        <xdr:cNvSpPr txBox="1">
          <a:spLocks/>
        </xdr:cNvSpPr>
      </xdr:nvSpPr>
      <xdr:spPr>
        <a:xfrm>
          <a:off x="3575955" y="93871911"/>
          <a:ext cx="2468880" cy="6172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2000" b="1" spc="-100" baseline="0">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rPr>
            <a:t>TITLE</a:t>
          </a:r>
          <a:endParaRPr lang="en-US" sz="20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endParaRPr>
        </a:p>
      </xdr:txBody>
    </xdr:sp>
    <xdr:clientData/>
  </xdr:twoCellAnchor>
  <xdr:twoCellAnchor>
    <xdr:from>
      <xdr:col>0</xdr:col>
      <xdr:colOff>106680</xdr:colOff>
      <xdr:row>462</xdr:row>
      <xdr:rowOff>15240</xdr:rowOff>
    </xdr:from>
    <xdr:to>
      <xdr:col>5</xdr:col>
      <xdr:colOff>219301</xdr:colOff>
      <xdr:row>465</xdr:row>
      <xdr:rowOff>130670</xdr:rowOff>
    </xdr:to>
    <xdr:sp macro="" textlink="">
      <xdr:nvSpPr>
        <xdr:cNvPr id="2717" name="Government exists as a force for good.">
          <a:extLst>
            <a:ext uri="{FF2B5EF4-FFF2-40B4-BE49-F238E27FC236}">
              <a16:creationId xmlns:a16="http://schemas.microsoft.com/office/drawing/2014/main" id="{00000000-0008-0000-0200-00009D0A0000}"/>
            </a:ext>
          </a:extLst>
        </xdr:cNvPr>
        <xdr:cNvSpPr txBox="1">
          <a:spLocks/>
        </xdr:cNvSpPr>
      </xdr:nvSpPr>
      <xdr:spPr>
        <a:xfrm>
          <a:off x="106680" y="93870780"/>
          <a:ext cx="2215741" cy="64121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20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rPr>
            <a:t>TITLE</a:t>
          </a:r>
        </a:p>
      </xdr:txBody>
    </xdr:sp>
    <xdr:clientData/>
  </xdr:twoCellAnchor>
  <xdr:twoCellAnchor>
    <xdr:from>
      <xdr:col>0</xdr:col>
      <xdr:colOff>0</xdr:colOff>
      <xdr:row>335</xdr:row>
      <xdr:rowOff>76200</xdr:rowOff>
    </xdr:from>
    <xdr:to>
      <xdr:col>5</xdr:col>
      <xdr:colOff>182880</xdr:colOff>
      <xdr:row>342</xdr:row>
      <xdr:rowOff>129540</xdr:rowOff>
    </xdr:to>
    <xdr:sp macro="" textlink="">
      <xdr:nvSpPr>
        <xdr:cNvPr id="2720" name="You believe whatever serves your needs.">
          <a:extLst>
            <a:ext uri="{FF2B5EF4-FFF2-40B4-BE49-F238E27FC236}">
              <a16:creationId xmlns:a16="http://schemas.microsoft.com/office/drawing/2014/main" id="{00000000-0008-0000-0200-0000A00A0000}"/>
            </a:ext>
          </a:extLst>
        </xdr:cNvPr>
        <xdr:cNvSpPr txBox="1">
          <a:spLocks/>
        </xdr:cNvSpPr>
      </xdr:nvSpPr>
      <xdr:spPr>
        <a:xfrm>
          <a:off x="0" y="62484000"/>
          <a:ext cx="2286000" cy="12801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4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Left pulling needs</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Be authentic without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exclusion</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Is</a:t>
          </a:r>
          <a:r>
            <a:rPr lang="en-US" sz="120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it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effective</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for the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many</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Is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everyone </a:t>
          </a: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equally included?</a:t>
          </a:r>
        </a:p>
        <a:p>
          <a:pPr marL="0" indent="0" algn="ctr">
            <a:lnSpc>
              <a:spcPts val="1200"/>
            </a:lnSpc>
            <a:buNone/>
          </a:pP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Prioritize most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vulnerable</a:t>
          </a: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p>
        <a:p>
          <a:pPr marL="0" indent="0" algn="ctr">
            <a:lnSpc>
              <a:spcPts val="1200"/>
            </a:lnSpc>
            <a:buNone/>
          </a:pP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Rely</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on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public </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goods</a:t>
          </a:r>
        </a:p>
        <a:p>
          <a:pPr marL="0" indent="0" algn="ctr">
            <a:lnSpc>
              <a:spcPts val="1200"/>
            </a:lnSpc>
            <a:buNone/>
          </a:pP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Improve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collective </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capacity</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289560</xdr:colOff>
      <xdr:row>335</xdr:row>
      <xdr:rowOff>38100</xdr:rowOff>
    </xdr:from>
    <xdr:to>
      <xdr:col>13</xdr:col>
      <xdr:colOff>99060</xdr:colOff>
      <xdr:row>342</xdr:row>
      <xdr:rowOff>91440</xdr:rowOff>
    </xdr:to>
    <xdr:sp macro="" textlink="">
      <xdr:nvSpPr>
        <xdr:cNvPr id="2721" name="You believe whatever serves your needs.">
          <a:extLst>
            <a:ext uri="{FF2B5EF4-FFF2-40B4-BE49-F238E27FC236}">
              <a16:creationId xmlns:a16="http://schemas.microsoft.com/office/drawing/2014/main" id="{00000000-0008-0000-0200-0000A10A0000}"/>
            </a:ext>
          </a:extLst>
        </xdr:cNvPr>
        <xdr:cNvSpPr txBox="1">
          <a:spLocks/>
        </xdr:cNvSpPr>
      </xdr:nvSpPr>
      <xdr:spPr>
        <a:xfrm>
          <a:off x="3878580" y="62445900"/>
          <a:ext cx="2286000" cy="12801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400"/>
            </a:lnSpc>
            <a:buNone/>
          </a:pPr>
          <a:r>
            <a:rPr lang="en-US" sz="1400" b="1"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Right pulling needs</a:t>
          </a:r>
          <a:endParaRPr lang="en-US" sz="14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Guard traditional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cohesion</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Is</a:t>
          </a:r>
          <a:r>
            <a:rPr lang="en-US" sz="120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it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effectient</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for the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few</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Is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individuals </a:t>
          </a: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live freely?</a:t>
          </a:r>
        </a:p>
        <a:p>
          <a:pPr marL="0" indent="0" algn="ctr">
            <a:lnSpc>
              <a:spcPts val="1200"/>
            </a:lnSpc>
            <a:buNone/>
          </a:pP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Prioritize most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vulnerable</a:t>
          </a: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p>
        <a:p>
          <a:pPr marL="0" indent="0" algn="ctr">
            <a:lnSpc>
              <a:spcPts val="1200"/>
            </a:lnSpc>
            <a:buNone/>
          </a:pP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Rely</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on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private </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goods</a:t>
          </a:r>
        </a:p>
        <a:p>
          <a:pPr marL="0" indent="0" algn="ctr">
            <a:lnSpc>
              <a:spcPts val="1200"/>
            </a:lnSpc>
            <a:buNone/>
          </a:pP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Improve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individual </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capacity</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30480</xdr:colOff>
      <xdr:row>345</xdr:row>
      <xdr:rowOff>91440</xdr:rowOff>
    </xdr:from>
    <xdr:to>
      <xdr:col>5</xdr:col>
      <xdr:colOff>335280</xdr:colOff>
      <xdr:row>349</xdr:row>
      <xdr:rowOff>30480</xdr:rowOff>
    </xdr:to>
    <xdr:sp macro="" textlink="">
      <xdr:nvSpPr>
        <xdr:cNvPr id="2724" name="You believe whatever serves your needs.">
          <a:extLst>
            <a:ext uri="{FF2B5EF4-FFF2-40B4-BE49-F238E27FC236}">
              <a16:creationId xmlns:a16="http://schemas.microsoft.com/office/drawing/2014/main" id="{00000000-0008-0000-0200-0000A40A0000}"/>
            </a:ext>
          </a:extLst>
        </xdr:cNvPr>
        <xdr:cNvSpPr txBox="1">
          <a:spLocks/>
        </xdr:cNvSpPr>
      </xdr:nvSpPr>
      <xdr:spPr>
        <a:xfrm>
          <a:off x="152400" y="64251840"/>
          <a:ext cx="228600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4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Because your life situation impacts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your psychosocial needs in an opposite way.</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114300</xdr:colOff>
      <xdr:row>345</xdr:row>
      <xdr:rowOff>76200</xdr:rowOff>
    </xdr:from>
    <xdr:to>
      <xdr:col>12</xdr:col>
      <xdr:colOff>419100</xdr:colOff>
      <xdr:row>349</xdr:row>
      <xdr:rowOff>15240</xdr:rowOff>
    </xdr:to>
    <xdr:sp macro="" textlink="">
      <xdr:nvSpPr>
        <xdr:cNvPr id="2725" name="You believe whatever serves your needs.">
          <a:extLst>
            <a:ext uri="{FF2B5EF4-FFF2-40B4-BE49-F238E27FC236}">
              <a16:creationId xmlns:a16="http://schemas.microsoft.com/office/drawing/2014/main" id="{00000000-0008-0000-0200-0000A50A0000}"/>
            </a:ext>
          </a:extLst>
        </xdr:cNvPr>
        <xdr:cNvSpPr txBox="1">
          <a:spLocks/>
        </xdr:cNvSpPr>
      </xdr:nvSpPr>
      <xdr:spPr>
        <a:xfrm>
          <a:off x="3703320" y="64236600"/>
          <a:ext cx="228600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ts val="1400"/>
            </a:lnSpc>
            <a:buNone/>
          </a:pPr>
          <a:r>
            <a:rPr lang="en-US" sz="1400" b="1"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Because </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your life situation impacts your psychosocial needs in an opposite way. </a:t>
          </a:r>
        </a:p>
      </xdr:txBody>
    </xdr:sp>
    <xdr:clientData/>
  </xdr:twoCellAnchor>
  <xdr:twoCellAnchor>
    <xdr:from>
      <xdr:col>0</xdr:col>
      <xdr:colOff>91440</xdr:colOff>
      <xdr:row>499</xdr:row>
      <xdr:rowOff>54187</xdr:rowOff>
    </xdr:from>
    <xdr:to>
      <xdr:col>13</xdr:col>
      <xdr:colOff>15240</xdr:colOff>
      <xdr:row>505</xdr:row>
      <xdr:rowOff>38100</xdr:rowOff>
    </xdr:to>
    <xdr:sp macro="" textlink="">
      <xdr:nvSpPr>
        <xdr:cNvPr id="2739" name="TextBox 2738">
          <a:extLst>
            <a:ext uri="{FF2B5EF4-FFF2-40B4-BE49-F238E27FC236}">
              <a16:creationId xmlns:a16="http://schemas.microsoft.com/office/drawing/2014/main" id="{00000000-0008-0000-0200-0000B30A0000}"/>
            </a:ext>
          </a:extLst>
        </xdr:cNvPr>
        <xdr:cNvSpPr txBox="1"/>
      </xdr:nvSpPr>
      <xdr:spPr>
        <a:xfrm>
          <a:off x="91440" y="91859947"/>
          <a:ext cx="5989320" cy="1035473"/>
        </a:xfrm>
        <a:prstGeom prst="rect">
          <a:avLst/>
        </a:prstGeom>
        <a:gradFill flip="none" rotWithShape="1">
          <a:gsLst>
            <a:gs pos="0">
              <a:srgbClr val="7030A0">
                <a:alpha val="20000"/>
              </a:srgbClr>
            </a:gs>
            <a:gs pos="15000">
              <a:srgbClr val="7030A0">
                <a:alpha val="70000"/>
              </a:srgbClr>
            </a:gs>
            <a:gs pos="85000">
              <a:srgbClr val="7030A0">
                <a:alpha val="70000"/>
              </a:srgbClr>
            </a:gs>
            <a:gs pos="100000">
              <a:srgbClr val="7030A0">
                <a:alpha val="20000"/>
              </a:srgbClr>
            </a:gs>
          </a:gsLst>
          <a:lin ang="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0" rIns="457200" rtlCol="0" anchor="t"/>
        <a:lstStyle/>
        <a:p>
          <a:pPr algn="ct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both completely resolve,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capable I am to focus on the needs of others.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resolve relative to my </a:t>
          </a:r>
          <a:r>
            <a:rPr lang="en-US" sz="1200" b="0" kern="1200" baseline="0">
              <a:ln>
                <a:solidFill>
                  <a:srgbClr val="E178FF"/>
                </a:solidFill>
              </a:ln>
              <a:solidFill>
                <a:srgbClr val="E178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or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E178FF"/>
                </a:solidFill>
              </a:ln>
              <a:solidFill>
                <a:srgbClr val="E178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resolve relative to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capable I am to focus on the needs of others, as this tension creates </a:t>
          </a:r>
          <a:r>
            <a:rPr lang="en-US" sz="1200" b="0" kern="1200" baseline="0">
              <a:ln>
                <a:solidFill>
                  <a:srgbClr val="FFFF00"/>
                </a:solidFill>
              </a:ln>
              <a:solidFill>
                <a:srgbClr val="FFFF00"/>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that consumes my focus.</a:t>
          </a:r>
        </a:p>
      </xdr:txBody>
    </xdr:sp>
    <xdr:clientData/>
  </xdr:twoCellAnchor>
  <xdr:twoCellAnchor>
    <xdr:from>
      <xdr:col>0</xdr:col>
      <xdr:colOff>45720</xdr:colOff>
      <xdr:row>557</xdr:row>
      <xdr:rowOff>38099</xdr:rowOff>
    </xdr:from>
    <xdr:to>
      <xdr:col>3</xdr:col>
      <xdr:colOff>304800</xdr:colOff>
      <xdr:row>558</xdr:row>
      <xdr:rowOff>137159</xdr:rowOff>
    </xdr:to>
    <xdr:sp macro="" textlink="">
      <xdr:nvSpPr>
        <xdr:cNvPr id="2746" name="Left pulling need">
          <a:extLst>
            <a:ext uri="{FF2B5EF4-FFF2-40B4-BE49-F238E27FC236}">
              <a16:creationId xmlns:a16="http://schemas.microsoft.com/office/drawing/2014/main" id="{00000000-0008-0000-0200-0000BA0A0000}"/>
            </a:ext>
          </a:extLst>
        </xdr:cNvPr>
        <xdr:cNvSpPr txBox="1">
          <a:spLocks/>
        </xdr:cNvSpPr>
      </xdr:nvSpPr>
      <xdr:spPr>
        <a:xfrm rot="725967">
          <a:off x="45720" y="85534499"/>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 self-needs</a:t>
          </a:r>
          <a:endParaRPr lang="en-US" sz="1200" b="0" i="1"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10</xdr:col>
      <xdr:colOff>144779</xdr:colOff>
      <xdr:row>557</xdr:row>
      <xdr:rowOff>22860</xdr:rowOff>
    </xdr:from>
    <xdr:to>
      <xdr:col>13</xdr:col>
      <xdr:colOff>30479</xdr:colOff>
      <xdr:row>558</xdr:row>
      <xdr:rowOff>121920</xdr:rowOff>
    </xdr:to>
    <xdr:sp macro="" textlink="">
      <xdr:nvSpPr>
        <xdr:cNvPr id="2747" name="Right pulling need">
          <a:extLst>
            <a:ext uri="{FF2B5EF4-FFF2-40B4-BE49-F238E27FC236}">
              <a16:creationId xmlns:a16="http://schemas.microsoft.com/office/drawing/2014/main" id="{00000000-0008-0000-0200-0000BB0A0000}"/>
            </a:ext>
          </a:extLst>
        </xdr:cNvPr>
        <xdr:cNvSpPr txBox="1">
          <a:spLocks/>
        </xdr:cNvSpPr>
      </xdr:nvSpPr>
      <xdr:spPr>
        <a:xfrm rot="20880000">
          <a:off x="4724399" y="8551926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 social-needs</a:t>
          </a:r>
          <a:endParaRPr lang="en-US" sz="1200" b="0" i="1"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388620</xdr:colOff>
      <xdr:row>555</xdr:row>
      <xdr:rowOff>0</xdr:rowOff>
    </xdr:from>
    <xdr:to>
      <xdr:col>4</xdr:col>
      <xdr:colOff>274320</xdr:colOff>
      <xdr:row>556</xdr:row>
      <xdr:rowOff>99060</xdr:rowOff>
    </xdr:to>
    <xdr:sp macro="" textlink="">
      <xdr:nvSpPr>
        <xdr:cNvPr id="2748" name="Left pulling need">
          <a:extLst>
            <a:ext uri="{FF2B5EF4-FFF2-40B4-BE49-F238E27FC236}">
              <a16:creationId xmlns:a16="http://schemas.microsoft.com/office/drawing/2014/main" id="{00000000-0008-0000-0200-0000BC0A0000}"/>
            </a:ext>
          </a:extLst>
        </xdr:cNvPr>
        <xdr:cNvSpPr txBox="1">
          <a:spLocks/>
        </xdr:cNvSpPr>
      </xdr:nvSpPr>
      <xdr:spPr>
        <a:xfrm rot="720000">
          <a:off x="510540" y="11061192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relieve</a:t>
          </a:r>
          <a:r>
            <a:rPr lang="en-US" sz="1200" b="0" kern="1200" baseline="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social-needs</a:t>
          </a:r>
          <a:endParaRPr lang="en-US" sz="1200" b="0" i="1"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9</xdr:col>
      <xdr:colOff>152400</xdr:colOff>
      <xdr:row>555</xdr:row>
      <xdr:rowOff>38100</xdr:rowOff>
    </xdr:from>
    <xdr:to>
      <xdr:col>12</xdr:col>
      <xdr:colOff>38100</xdr:colOff>
      <xdr:row>556</xdr:row>
      <xdr:rowOff>137160</xdr:rowOff>
    </xdr:to>
    <xdr:sp macro="" textlink="">
      <xdr:nvSpPr>
        <xdr:cNvPr id="2749" name="Right pulling need">
          <a:extLst>
            <a:ext uri="{FF2B5EF4-FFF2-40B4-BE49-F238E27FC236}">
              <a16:creationId xmlns:a16="http://schemas.microsoft.com/office/drawing/2014/main" id="{00000000-0008-0000-0200-0000BD0A0000}"/>
            </a:ext>
          </a:extLst>
        </xdr:cNvPr>
        <xdr:cNvSpPr txBox="1">
          <a:spLocks/>
        </xdr:cNvSpPr>
      </xdr:nvSpPr>
      <xdr:spPr>
        <a:xfrm rot="20880000">
          <a:off x="4236720" y="11065002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relieve self-needs</a:t>
          </a:r>
          <a:endParaRPr lang="en-US" sz="1200" b="0" i="1"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6</xdr:col>
      <xdr:colOff>418716</xdr:colOff>
      <xdr:row>586</xdr:row>
      <xdr:rowOff>37924</xdr:rowOff>
    </xdr:from>
    <xdr:to>
      <xdr:col>7</xdr:col>
      <xdr:colOff>152016</xdr:colOff>
      <xdr:row>599</xdr:row>
      <xdr:rowOff>45544</xdr:rowOff>
    </xdr:to>
    <xdr:grpSp>
      <xdr:nvGrpSpPr>
        <xdr:cNvPr id="163" name="Group 162" hidden="1">
          <a:extLst>
            <a:ext uri="{FF2B5EF4-FFF2-40B4-BE49-F238E27FC236}">
              <a16:creationId xmlns:a16="http://schemas.microsoft.com/office/drawing/2014/main" id="{00000000-0008-0000-0200-0000A3000000}"/>
            </a:ext>
          </a:extLst>
        </xdr:cNvPr>
        <xdr:cNvGrpSpPr/>
      </xdr:nvGrpSpPr>
      <xdr:grpSpPr>
        <a:xfrm rot="360000">
          <a:off x="3047616" y="116258164"/>
          <a:ext cx="236220" cy="2286000"/>
          <a:chOff x="7551420" y="106893360"/>
          <a:chExt cx="243840" cy="3375660"/>
        </a:xfrm>
        <a:effectLst>
          <a:outerShdw blurRad="50800" dist="50800" dir="5400000" algn="ctr" rotWithShape="0">
            <a:schemeClr val="accent2">
              <a:lumMod val="75000"/>
            </a:schemeClr>
          </a:outerShdw>
        </a:effectLst>
      </xdr:grpSpPr>
      <xdr:sp macro="" textlink="">
        <xdr:nvSpPr>
          <xdr:cNvPr id="123" name="Lightning Bolt 122">
            <a:extLst>
              <a:ext uri="{FF2B5EF4-FFF2-40B4-BE49-F238E27FC236}">
                <a16:creationId xmlns:a16="http://schemas.microsoft.com/office/drawing/2014/main" id="{00000000-0008-0000-0200-00007B000000}"/>
              </a:ext>
            </a:extLst>
          </xdr:cNvPr>
          <xdr:cNvSpPr/>
        </xdr:nvSpPr>
        <xdr:spPr>
          <a:xfrm>
            <a:off x="7642860" y="108432600"/>
            <a:ext cx="152400" cy="1836420"/>
          </a:xfrm>
          <a:prstGeom prst="lightningBolt">
            <a:avLst/>
          </a:prstGeom>
          <a:ln>
            <a:solidFill>
              <a:schemeClr val="accent2">
                <a:lumMod val="60000"/>
                <a:lumOff val="40000"/>
              </a:schemeClr>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796" name="Lightning Bolt 2795">
            <a:extLst>
              <a:ext uri="{FF2B5EF4-FFF2-40B4-BE49-F238E27FC236}">
                <a16:creationId xmlns:a16="http://schemas.microsoft.com/office/drawing/2014/main" id="{00000000-0008-0000-0200-0000EC0A0000}"/>
              </a:ext>
            </a:extLst>
          </xdr:cNvPr>
          <xdr:cNvSpPr/>
        </xdr:nvSpPr>
        <xdr:spPr>
          <a:xfrm flipH="1" flipV="1">
            <a:off x="7551420" y="106893360"/>
            <a:ext cx="152400" cy="1836420"/>
          </a:xfrm>
          <a:prstGeom prst="lightningBolt">
            <a:avLst/>
          </a:prstGeom>
          <a:ln>
            <a:solidFill>
              <a:schemeClr val="accent2">
                <a:lumMod val="60000"/>
                <a:lumOff val="40000"/>
              </a:schemeClr>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30480</xdr:colOff>
      <xdr:row>572</xdr:row>
      <xdr:rowOff>121920</xdr:rowOff>
    </xdr:from>
    <xdr:to>
      <xdr:col>5</xdr:col>
      <xdr:colOff>335280</xdr:colOff>
      <xdr:row>587</xdr:row>
      <xdr:rowOff>68580</xdr:rowOff>
    </xdr:to>
    <xdr:sp macro="" textlink="">
      <xdr:nvSpPr>
        <xdr:cNvPr id="2793" name="You believe whatever serves your needs.">
          <a:extLst>
            <a:ext uri="{FF2B5EF4-FFF2-40B4-BE49-F238E27FC236}">
              <a16:creationId xmlns:a16="http://schemas.microsoft.com/office/drawing/2014/main" id="{00000000-0008-0000-0200-0000E90A0000}"/>
            </a:ext>
          </a:extLst>
        </xdr:cNvPr>
        <xdr:cNvSpPr txBox="1">
          <a:spLocks/>
        </xdr:cNvSpPr>
      </xdr:nvSpPr>
      <xdr:spPr>
        <a:xfrm>
          <a:off x="152400" y="113797080"/>
          <a:ext cx="2286000" cy="25831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3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Whether your </a:t>
          </a:r>
          <a:r>
            <a:rPr lang="en-US" sz="1400" b="1" spc="-30">
              <a:ln w="3175">
                <a:solidFill>
                  <a:srgbClr val="00B050"/>
                </a:solidFill>
              </a:ln>
              <a:solidFill>
                <a:srgbClr val="C8FFE1"/>
              </a:solidFill>
              <a:latin typeface="Tahoma" panose="020B0604030504040204" pitchFamily="34" charset="0"/>
              <a:ea typeface="Tahoma" panose="020B0604030504040204" pitchFamily="34" charset="0"/>
              <a:cs typeface="Tahoma" panose="020B0604030504040204" pitchFamily="34" charset="0"/>
            </a:rPr>
            <a:t>self-needs</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resolve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 little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or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 lot</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than your </a:t>
          </a:r>
          <a:r>
            <a:rPr lang="en-US" sz="1400" b="1" spc="-30">
              <a:ln w="3175">
                <a:solidFill>
                  <a:srgbClr val="7030A0"/>
                </a:solidFill>
              </a:ln>
              <a:solidFill>
                <a:srgbClr val="F0CDFF"/>
              </a:solidFill>
              <a:latin typeface="Tahoma" panose="020B0604030504040204" pitchFamily="34" charset="0"/>
              <a:ea typeface="Tahoma" panose="020B0604030504040204" pitchFamily="34" charset="0"/>
              <a:cs typeface="Tahoma" panose="020B0604030504040204" pitchFamily="34" charset="0"/>
            </a:rPr>
            <a:t>social-needs</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your</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psychosocial orientation priortizes you in the opposite direction of the </a:t>
          </a:r>
          <a:r>
            <a:rPr lang="en-US" sz="1400" b="1" kern="1200" spc="-30">
              <a:ln>
                <a:solidFill>
                  <a:srgbClr val="FF0000"/>
                </a:solidFill>
              </a:ln>
              <a:solidFill>
                <a:srgbClr val="FF5050"/>
              </a:solidFill>
              <a:latin typeface="Tahoma" panose="020B0604030504040204" pitchFamily="34" charset="0"/>
              <a:ea typeface="Tahoma" panose="020B0604030504040204" pitchFamily="34" charset="0"/>
              <a:cs typeface="Tahoma" panose="020B0604030504040204" pitchFamily="34" charset="0"/>
            </a:rPr>
            <a:t>DEEP-oriented</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So you find more in common </a:t>
          </a:r>
          <a:r>
            <a:rPr lang="en-US" sz="1400" b="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with other </a:t>
          </a:r>
          <a:r>
            <a:rPr lang="en-US" sz="1400" b="1" spc="-50" baseline="0">
              <a:ln>
                <a:solidFill>
                  <a:srgbClr val="6ED7FF"/>
                </a:solidFill>
              </a:ln>
              <a:solidFill>
                <a:srgbClr val="6ED7FF"/>
              </a:solidFill>
              <a:latin typeface="Tahoma" panose="020B0604030504040204" pitchFamily="34" charset="0"/>
              <a:ea typeface="Tahoma" panose="020B0604030504040204" pitchFamily="34" charset="0"/>
              <a:cs typeface="Tahoma" panose="020B0604030504040204" pitchFamily="34" charset="0"/>
            </a:rPr>
            <a:t>WIDE-oriented</a:t>
          </a:r>
          <a:r>
            <a:rPr lang="en-US" sz="1400" b="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whose needs may be far </a:t>
          </a:r>
          <a:r>
            <a:rPr lang="en-US" sz="1400" b="1" spc="-7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 resolved than yours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They tend to be political leaders who dare speak </a:t>
          </a:r>
          <a:r>
            <a:rPr lang="en-US" sz="1400" b="1" spc="-7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for your prioritized needs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151804</xdr:colOff>
      <xdr:row>572</xdr:row>
      <xdr:rowOff>121920</xdr:rowOff>
    </xdr:from>
    <xdr:to>
      <xdr:col>12</xdr:col>
      <xdr:colOff>456604</xdr:colOff>
      <xdr:row>589</xdr:row>
      <xdr:rowOff>15240</xdr:rowOff>
    </xdr:to>
    <xdr:sp macro="" textlink="">
      <xdr:nvSpPr>
        <xdr:cNvPr id="2794" name="You believe whatever serves your needs.">
          <a:extLst>
            <a:ext uri="{FF2B5EF4-FFF2-40B4-BE49-F238E27FC236}">
              <a16:creationId xmlns:a16="http://schemas.microsoft.com/office/drawing/2014/main" id="{00000000-0008-0000-0200-0000EA0A0000}"/>
            </a:ext>
          </a:extLst>
        </xdr:cNvPr>
        <xdr:cNvSpPr txBox="1">
          <a:spLocks/>
        </xdr:cNvSpPr>
      </xdr:nvSpPr>
      <xdr:spPr>
        <a:xfrm>
          <a:off x="3740824" y="113675160"/>
          <a:ext cx="2286000" cy="28803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r">
            <a:lnSpc>
              <a:spcPts val="1300"/>
            </a:lnSpc>
          </a:pPr>
          <a:r>
            <a:rPr lang="en-US" sz="1400" b="1" kern="1200" spc="-8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Whether your </a:t>
          </a:r>
          <a:r>
            <a:rPr lang="en-US" sz="1400" b="1" kern="1200" spc="-80">
              <a:ln w="3175">
                <a:solidFill>
                  <a:srgbClr val="7030A0"/>
                </a:solidFill>
              </a:ln>
              <a:solidFill>
                <a:srgbClr val="F0CDFF"/>
              </a:solidFill>
              <a:latin typeface="Tahoma" panose="020B0604030504040204" pitchFamily="34" charset="0"/>
              <a:ea typeface="Tahoma" panose="020B0604030504040204" pitchFamily="34" charset="0"/>
              <a:cs typeface="Tahoma" panose="020B0604030504040204" pitchFamily="34" charset="0"/>
            </a:rPr>
            <a:t>social-needs</a:t>
          </a:r>
          <a:r>
            <a:rPr lang="en-US" sz="1400" b="1" kern="1200" spc="-8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resolve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 little more</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or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 lot</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more</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than your </a:t>
          </a:r>
          <a:r>
            <a:rPr lang="en-US" sz="1400" b="1" kern="1200" spc="-30">
              <a:ln w="3175">
                <a:solidFill>
                  <a:srgbClr val="00B050"/>
                </a:solidFill>
              </a:ln>
              <a:solidFill>
                <a:srgbClr val="C8FFE1"/>
              </a:solidFill>
              <a:latin typeface="Tahoma" panose="020B0604030504040204" pitchFamily="34" charset="0"/>
              <a:ea typeface="Tahoma" panose="020B0604030504040204" pitchFamily="34" charset="0"/>
              <a:cs typeface="Tahoma" panose="020B0604030504040204" pitchFamily="34" charset="0"/>
            </a:rPr>
            <a:t>self-needs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your psychosocial orientation priortizes you in the opposite direction of the </a:t>
          </a:r>
          <a:r>
            <a:rPr lang="en-US" sz="1400" b="1" kern="1200" spc="-30" baseline="0">
              <a:ln>
                <a:solidFill>
                  <a:srgbClr val="6ED7FF"/>
                </a:solidFill>
              </a:ln>
              <a:solidFill>
                <a:srgbClr val="6ED7FF"/>
              </a:solidFill>
              <a:latin typeface="Tahoma" panose="020B0604030504040204" pitchFamily="34" charset="0"/>
              <a:ea typeface="Tahoma" panose="020B0604030504040204" pitchFamily="34" charset="0"/>
              <a:cs typeface="Tahoma" panose="020B0604030504040204" pitchFamily="34" charset="0"/>
            </a:rPr>
            <a:t>WIDE-oriented</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So you find more in common with other </a:t>
          </a:r>
          <a:r>
            <a:rPr lang="en-US" sz="1400" b="1" kern="1200" spc="-30">
              <a:ln>
                <a:solidFill>
                  <a:srgbClr val="FF0000"/>
                </a:solidFill>
              </a:ln>
              <a:solidFill>
                <a:srgbClr val="FF5050"/>
              </a:solidFill>
              <a:latin typeface="Tahoma" panose="020B0604030504040204" pitchFamily="34" charset="0"/>
              <a:ea typeface="Tahoma" panose="020B0604030504040204" pitchFamily="34" charset="0"/>
              <a:cs typeface="Tahoma" panose="020B0604030504040204" pitchFamily="34" charset="0"/>
            </a:rPr>
            <a:t>DEEP-oriented</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whose needs may be far </a:t>
          </a:r>
          <a:r>
            <a:rPr lang="en-US" sz="1400" b="1" kern="1200" spc="-7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more resolved than yours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They tend to be political leaders who dare speak </a:t>
          </a:r>
          <a:r>
            <a:rPr lang="en-US" sz="1400" b="1" kern="1200" spc="-7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for your prioritized needs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22860</xdr:colOff>
      <xdr:row>412</xdr:row>
      <xdr:rowOff>37958</xdr:rowOff>
    </xdr:from>
    <xdr:to>
      <xdr:col>7</xdr:col>
      <xdr:colOff>22860</xdr:colOff>
      <xdr:row>458</xdr:row>
      <xdr:rowOff>154499</xdr:rowOff>
    </xdr:to>
    <xdr:cxnSp macro="">
      <xdr:nvCxnSpPr>
        <xdr:cNvPr id="171" name="Straight Connector 170">
          <a:extLst>
            <a:ext uri="{FF2B5EF4-FFF2-40B4-BE49-F238E27FC236}">
              <a16:creationId xmlns:a16="http://schemas.microsoft.com/office/drawing/2014/main" id="{00000000-0008-0000-0200-0000AB000000}"/>
            </a:ext>
          </a:extLst>
        </xdr:cNvPr>
        <xdr:cNvCxnSpPr/>
      </xdr:nvCxnSpPr>
      <xdr:spPr>
        <a:xfrm>
          <a:off x="3100742" y="75789723"/>
          <a:ext cx="0" cy="8229600"/>
        </a:xfrm>
        <a:prstGeom prst="line">
          <a:avLst/>
        </a:prstGeom>
      </xdr:spPr>
      <xdr:style>
        <a:lnRef idx="1">
          <a:schemeClr val="accent4"/>
        </a:lnRef>
        <a:fillRef idx="0">
          <a:schemeClr val="accent4"/>
        </a:fillRef>
        <a:effectRef idx="0">
          <a:schemeClr val="accent4"/>
        </a:effectRef>
        <a:fontRef idx="minor">
          <a:schemeClr val="tx1"/>
        </a:fontRef>
      </xdr:style>
    </xdr:cxnSp>
    <xdr:clientData/>
  </xdr:twoCellAnchor>
  <xdr:twoCellAnchor>
    <xdr:from>
      <xdr:col>0</xdr:col>
      <xdr:colOff>77246</xdr:colOff>
      <xdr:row>421</xdr:row>
      <xdr:rowOff>69327</xdr:rowOff>
    </xdr:from>
    <xdr:to>
      <xdr:col>13</xdr:col>
      <xdr:colOff>38100</xdr:colOff>
      <xdr:row>427</xdr:row>
      <xdr:rowOff>158675</xdr:rowOff>
    </xdr:to>
    <xdr:grpSp>
      <xdr:nvGrpSpPr>
        <xdr:cNvPr id="1553" name="Group 1552">
          <a:extLst>
            <a:ext uri="{FF2B5EF4-FFF2-40B4-BE49-F238E27FC236}">
              <a16:creationId xmlns:a16="http://schemas.microsoft.com/office/drawing/2014/main" id="{00000000-0008-0000-0200-000011060000}"/>
            </a:ext>
          </a:extLst>
        </xdr:cNvPr>
        <xdr:cNvGrpSpPr/>
      </xdr:nvGrpSpPr>
      <xdr:grpSpPr>
        <a:xfrm>
          <a:off x="77246" y="86594427"/>
          <a:ext cx="6110194" cy="1140908"/>
          <a:chOff x="62006" y="80864187"/>
          <a:chExt cx="6026374" cy="1140908"/>
        </a:xfrm>
      </xdr:grpSpPr>
      <xdr:sp macro="" textlink="">
        <xdr:nvSpPr>
          <xdr:cNvPr id="1554" name="Left pulling need">
            <a:extLst>
              <a:ext uri="{FF2B5EF4-FFF2-40B4-BE49-F238E27FC236}">
                <a16:creationId xmlns:a16="http://schemas.microsoft.com/office/drawing/2014/main" id="{00000000-0008-0000-0200-000012060000}"/>
              </a:ext>
            </a:extLst>
          </xdr:cNvPr>
          <xdr:cNvSpPr txBox="1">
            <a:spLocks/>
          </xdr:cNvSpPr>
        </xdr:nvSpPr>
        <xdr:spPr>
          <a:xfrm>
            <a:off x="68580" y="80864187"/>
            <a:ext cx="22555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what is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effective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for the many</a:t>
            </a:r>
          </a:p>
        </xdr:txBody>
      </xdr:sp>
      <xdr:sp macro="" textlink="">
        <xdr:nvSpPr>
          <xdr:cNvPr id="1555" name="Right pulling need">
            <a:extLst>
              <a:ext uri="{FF2B5EF4-FFF2-40B4-BE49-F238E27FC236}">
                <a16:creationId xmlns:a16="http://schemas.microsoft.com/office/drawing/2014/main" id="{00000000-0008-0000-0200-000013060000}"/>
              </a:ext>
            </a:extLst>
          </xdr:cNvPr>
          <xdr:cNvSpPr txBox="1">
            <a:spLocks/>
          </xdr:cNvSpPr>
        </xdr:nvSpPr>
        <xdr:spPr>
          <a:xfrm>
            <a:off x="3832860" y="80871807"/>
            <a:ext cx="22555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spc="-30" baseline="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what </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is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efficient</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for the few</a:t>
            </a:r>
          </a:p>
        </xdr:txBody>
      </xdr:sp>
      <xdr:sp macro="" textlink="">
        <xdr:nvSpPr>
          <xdr:cNvPr id="1557" name="Left pulling need">
            <a:extLst>
              <a:ext uri="{FF2B5EF4-FFF2-40B4-BE49-F238E27FC236}">
                <a16:creationId xmlns:a16="http://schemas.microsoft.com/office/drawing/2014/main" id="{00000000-0008-0000-0200-000015060000}"/>
              </a:ext>
            </a:extLst>
          </xdr:cNvPr>
          <xdr:cNvSpPr txBox="1">
            <a:spLocks/>
          </xdr:cNvSpPr>
        </xdr:nvSpPr>
        <xdr:spPr>
          <a:xfrm>
            <a:off x="62006" y="8131929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effectiveness</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efficiency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58" name="Right pulling need">
            <a:extLst>
              <a:ext uri="{FF2B5EF4-FFF2-40B4-BE49-F238E27FC236}">
                <a16:creationId xmlns:a16="http://schemas.microsoft.com/office/drawing/2014/main" id="{00000000-0008-0000-0200-000016060000}"/>
              </a:ext>
            </a:extLst>
          </xdr:cNvPr>
          <xdr:cNvSpPr txBox="1">
            <a:spLocks/>
          </xdr:cNvSpPr>
        </xdr:nvSpPr>
        <xdr:spPr>
          <a:xfrm>
            <a:off x="3998219" y="81319295"/>
            <a:ext cx="2079852"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effeciancy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effectiveness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69626</xdr:colOff>
      <xdr:row>428</xdr:row>
      <xdr:rowOff>60960</xdr:rowOff>
    </xdr:from>
    <xdr:to>
      <xdr:col>13</xdr:col>
      <xdr:colOff>38100</xdr:colOff>
      <xdr:row>434</xdr:row>
      <xdr:rowOff>143435</xdr:rowOff>
    </xdr:to>
    <xdr:grpSp>
      <xdr:nvGrpSpPr>
        <xdr:cNvPr id="1559" name="Group 1558">
          <a:extLst>
            <a:ext uri="{FF2B5EF4-FFF2-40B4-BE49-F238E27FC236}">
              <a16:creationId xmlns:a16="http://schemas.microsoft.com/office/drawing/2014/main" id="{00000000-0008-0000-0200-000017060000}"/>
            </a:ext>
          </a:extLst>
        </xdr:cNvPr>
        <xdr:cNvGrpSpPr/>
      </xdr:nvGrpSpPr>
      <xdr:grpSpPr>
        <a:xfrm>
          <a:off x="69626" y="87812880"/>
          <a:ext cx="6117814" cy="1134035"/>
          <a:chOff x="62006" y="83263740"/>
          <a:chExt cx="6033994" cy="1134035"/>
        </a:xfrm>
      </xdr:grpSpPr>
      <xdr:sp macro="" textlink="">
        <xdr:nvSpPr>
          <xdr:cNvPr id="1560" name="Left pulling need">
            <a:extLst>
              <a:ext uri="{FF2B5EF4-FFF2-40B4-BE49-F238E27FC236}">
                <a16:creationId xmlns:a16="http://schemas.microsoft.com/office/drawing/2014/main" id="{00000000-0008-0000-0200-000018060000}"/>
              </a:ext>
            </a:extLst>
          </xdr:cNvPr>
          <xdr:cNvSpPr txBox="1">
            <a:spLocks/>
          </xdr:cNvSpPr>
        </xdr:nvSpPr>
        <xdr:spPr>
          <a:xfrm>
            <a:off x="68580" y="83263740"/>
            <a:ext cx="25603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equality</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include all in society</a:t>
            </a:r>
          </a:p>
        </xdr:txBody>
      </xdr:sp>
      <xdr:sp macro="" textlink="">
        <xdr:nvSpPr>
          <xdr:cNvPr id="1561" name="Right pulling need">
            <a:extLst>
              <a:ext uri="{FF2B5EF4-FFF2-40B4-BE49-F238E27FC236}">
                <a16:creationId xmlns:a16="http://schemas.microsoft.com/office/drawing/2014/main" id="{00000000-0008-0000-0200-000019060000}"/>
              </a:ext>
            </a:extLst>
          </xdr:cNvPr>
          <xdr:cNvSpPr txBox="1">
            <a:spLocks/>
          </xdr:cNvSpPr>
        </xdr:nvSpPr>
        <xdr:spPr>
          <a:xfrm>
            <a:off x="3535680" y="83263740"/>
            <a:ext cx="25603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freedom</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so individuals can thrive</a:t>
            </a:r>
          </a:p>
        </xdr:txBody>
      </xdr:sp>
      <xdr:sp macro="" textlink="">
        <xdr:nvSpPr>
          <xdr:cNvPr id="1562" name="Left pulling need">
            <a:extLst>
              <a:ext uri="{FF2B5EF4-FFF2-40B4-BE49-F238E27FC236}">
                <a16:creationId xmlns:a16="http://schemas.microsoft.com/office/drawing/2014/main" id="{00000000-0008-0000-0200-00001A060000}"/>
              </a:ext>
            </a:extLst>
          </xdr:cNvPr>
          <xdr:cNvSpPr txBox="1">
            <a:spLocks/>
          </xdr:cNvSpPr>
        </xdr:nvSpPr>
        <xdr:spPr>
          <a:xfrm>
            <a:off x="62006" y="83711975"/>
            <a:ext cx="246888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social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equality </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freedom</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63" name="Right pulling need">
            <a:extLst>
              <a:ext uri="{FF2B5EF4-FFF2-40B4-BE49-F238E27FC236}">
                <a16:creationId xmlns:a16="http://schemas.microsoft.com/office/drawing/2014/main" id="{00000000-0008-0000-0200-00001B060000}"/>
              </a:ext>
            </a:extLst>
          </xdr:cNvPr>
          <xdr:cNvSpPr txBox="1">
            <a:spLocks/>
          </xdr:cNvSpPr>
        </xdr:nvSpPr>
        <xdr:spPr>
          <a:xfrm>
            <a:off x="3528060" y="83711975"/>
            <a:ext cx="256032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0"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freedom</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equality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46766</xdr:colOff>
      <xdr:row>435</xdr:row>
      <xdr:rowOff>39145</xdr:rowOff>
    </xdr:from>
    <xdr:to>
      <xdr:col>13</xdr:col>
      <xdr:colOff>43483</xdr:colOff>
      <xdr:row>441</xdr:row>
      <xdr:rowOff>158675</xdr:rowOff>
    </xdr:to>
    <xdr:grpSp>
      <xdr:nvGrpSpPr>
        <xdr:cNvPr id="1564" name="Group 1563">
          <a:extLst>
            <a:ext uri="{FF2B5EF4-FFF2-40B4-BE49-F238E27FC236}">
              <a16:creationId xmlns:a16="http://schemas.microsoft.com/office/drawing/2014/main" id="{00000000-0008-0000-0200-00001C060000}"/>
            </a:ext>
          </a:extLst>
        </xdr:cNvPr>
        <xdr:cNvGrpSpPr/>
      </xdr:nvGrpSpPr>
      <xdr:grpSpPr>
        <a:xfrm>
          <a:off x="46766" y="89017885"/>
          <a:ext cx="6146057" cy="1171090"/>
          <a:chOff x="62006" y="78045085"/>
          <a:chExt cx="6062237" cy="1171090"/>
        </a:xfrm>
      </xdr:grpSpPr>
      <xdr:sp macro="" textlink="">
        <xdr:nvSpPr>
          <xdr:cNvPr id="1565" name="Left pulling need">
            <a:extLst>
              <a:ext uri="{FF2B5EF4-FFF2-40B4-BE49-F238E27FC236}">
                <a16:creationId xmlns:a16="http://schemas.microsoft.com/office/drawing/2014/main" id="{00000000-0008-0000-0200-00001D060000}"/>
              </a:ext>
            </a:extLst>
          </xdr:cNvPr>
          <xdr:cNvSpPr txBox="1">
            <a:spLocks/>
          </xdr:cNvSpPr>
        </xdr:nvSpPr>
        <xdr:spPr>
          <a:xfrm>
            <a:off x="71710" y="78045085"/>
            <a:ext cx="261814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the most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vulnerable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serve demand</a:t>
            </a:r>
          </a:p>
        </xdr:txBody>
      </xdr:sp>
      <xdr:sp macro="" textlink="">
        <xdr:nvSpPr>
          <xdr:cNvPr id="1566" name="Right pulling need">
            <a:extLst>
              <a:ext uri="{FF2B5EF4-FFF2-40B4-BE49-F238E27FC236}">
                <a16:creationId xmlns:a16="http://schemas.microsoft.com/office/drawing/2014/main" id="{00000000-0008-0000-0200-00001E060000}"/>
              </a:ext>
            </a:extLst>
          </xdr:cNvPr>
          <xdr:cNvSpPr txBox="1">
            <a:spLocks/>
          </xdr:cNvSpPr>
        </xdr:nvSpPr>
        <xdr:spPr>
          <a:xfrm>
            <a:off x="3558541" y="78045085"/>
            <a:ext cx="2565702"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the most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productive</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insure supply</a:t>
            </a:r>
          </a:p>
        </xdr:txBody>
      </xdr:sp>
      <xdr:sp macro="" textlink="">
        <xdr:nvSpPr>
          <xdr:cNvPr id="1567" name="Left pulling need">
            <a:extLst>
              <a:ext uri="{FF2B5EF4-FFF2-40B4-BE49-F238E27FC236}">
                <a16:creationId xmlns:a16="http://schemas.microsoft.com/office/drawing/2014/main" id="{00000000-0008-0000-0200-00001F060000}"/>
              </a:ext>
            </a:extLst>
          </xdr:cNvPr>
          <xdr:cNvSpPr txBox="1">
            <a:spLocks/>
          </xdr:cNvSpPr>
        </xdr:nvSpPr>
        <xdr:spPr>
          <a:xfrm>
            <a:off x="62006" y="7853037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to serve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demand</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to</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insure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supply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68" name="Right pulling need">
            <a:extLst>
              <a:ext uri="{FF2B5EF4-FFF2-40B4-BE49-F238E27FC236}">
                <a16:creationId xmlns:a16="http://schemas.microsoft.com/office/drawing/2014/main" id="{00000000-0008-0000-0200-000020060000}"/>
              </a:ext>
            </a:extLst>
          </xdr:cNvPr>
          <xdr:cNvSpPr txBox="1">
            <a:spLocks/>
          </xdr:cNvSpPr>
        </xdr:nvSpPr>
        <xdr:spPr>
          <a:xfrm>
            <a:off x="3832412" y="78530375"/>
            <a:ext cx="2283759"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to insure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supply</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to </a:t>
            </a:r>
            <a:r>
              <a:rPr lang="en-US" sz="1100"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serve</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demand</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54386</xdr:colOff>
      <xdr:row>442</xdr:row>
      <xdr:rowOff>61707</xdr:rowOff>
    </xdr:from>
    <xdr:to>
      <xdr:col>13</xdr:col>
      <xdr:colOff>28691</xdr:colOff>
      <xdr:row>450</xdr:row>
      <xdr:rowOff>21515</xdr:rowOff>
    </xdr:to>
    <xdr:grpSp>
      <xdr:nvGrpSpPr>
        <xdr:cNvPr id="1569" name="Group 1568">
          <a:extLst>
            <a:ext uri="{FF2B5EF4-FFF2-40B4-BE49-F238E27FC236}">
              <a16:creationId xmlns:a16="http://schemas.microsoft.com/office/drawing/2014/main" id="{00000000-0008-0000-0200-000021060000}"/>
            </a:ext>
          </a:extLst>
        </xdr:cNvPr>
        <xdr:cNvGrpSpPr/>
      </xdr:nvGrpSpPr>
      <xdr:grpSpPr>
        <a:xfrm>
          <a:off x="54386" y="90267267"/>
          <a:ext cx="6123645" cy="1361888"/>
          <a:chOff x="62006" y="79424007"/>
          <a:chExt cx="6039825" cy="1361888"/>
        </a:xfrm>
      </xdr:grpSpPr>
      <xdr:sp macro="" textlink="">
        <xdr:nvSpPr>
          <xdr:cNvPr id="1570" name="Left pulling need">
            <a:extLst>
              <a:ext uri="{FF2B5EF4-FFF2-40B4-BE49-F238E27FC236}">
                <a16:creationId xmlns:a16="http://schemas.microsoft.com/office/drawing/2014/main" id="{00000000-0008-0000-0200-000022060000}"/>
              </a:ext>
            </a:extLst>
          </xdr:cNvPr>
          <xdr:cNvSpPr txBox="1">
            <a:spLocks/>
          </xdr:cNvSpPr>
        </xdr:nvSpPr>
        <xdr:spPr>
          <a:xfrm>
            <a:off x="68878" y="79424007"/>
            <a:ext cx="191799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public</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goods like public assistance</a:t>
            </a:r>
          </a:p>
        </xdr:txBody>
      </xdr:sp>
      <xdr:sp macro="" textlink="">
        <xdr:nvSpPr>
          <xdr:cNvPr id="1571" name="Right pulling need">
            <a:extLst>
              <a:ext uri="{FF2B5EF4-FFF2-40B4-BE49-F238E27FC236}">
                <a16:creationId xmlns:a16="http://schemas.microsoft.com/office/drawing/2014/main" id="{00000000-0008-0000-0200-000023060000}"/>
              </a:ext>
            </a:extLst>
          </xdr:cNvPr>
          <xdr:cNvSpPr txBox="1">
            <a:spLocks/>
          </xdr:cNvSpPr>
        </xdr:nvSpPr>
        <xdr:spPr>
          <a:xfrm>
            <a:off x="4183832" y="79439247"/>
            <a:ext cx="191799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private</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goods like health insurance</a:t>
            </a:r>
          </a:p>
        </xdr:txBody>
      </xdr:sp>
      <xdr:sp macro="" textlink="">
        <xdr:nvSpPr>
          <xdr:cNvPr id="1572" name="Left pulling need">
            <a:extLst>
              <a:ext uri="{FF2B5EF4-FFF2-40B4-BE49-F238E27FC236}">
                <a16:creationId xmlns:a16="http://schemas.microsoft.com/office/drawing/2014/main" id="{00000000-0008-0000-0200-000024060000}"/>
              </a:ext>
            </a:extLst>
          </xdr:cNvPr>
          <xdr:cNvSpPr txBox="1">
            <a:spLocks/>
          </xdr:cNvSpPr>
        </xdr:nvSpPr>
        <xdr:spPr>
          <a:xfrm>
            <a:off x="62006" y="8010009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public </a:t>
            </a:r>
            <a:r>
              <a:rPr lang="en-US" sz="1100" b="0"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private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73" name="Right pulling need">
            <a:extLst>
              <a:ext uri="{FF2B5EF4-FFF2-40B4-BE49-F238E27FC236}">
                <a16:creationId xmlns:a16="http://schemas.microsoft.com/office/drawing/2014/main" id="{00000000-0008-0000-0200-000025060000}"/>
              </a:ext>
            </a:extLst>
          </xdr:cNvPr>
          <xdr:cNvSpPr txBox="1">
            <a:spLocks/>
          </xdr:cNvSpPr>
        </xdr:nvSpPr>
        <xdr:spPr>
          <a:xfrm>
            <a:off x="3794312" y="80100095"/>
            <a:ext cx="2283759"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private </a:t>
            </a:r>
            <a:r>
              <a:rPr lang="en-US" sz="1100" b="0"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public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60960</xdr:colOff>
      <xdr:row>450</xdr:row>
      <xdr:rowOff>137160</xdr:rowOff>
    </xdr:from>
    <xdr:to>
      <xdr:col>13</xdr:col>
      <xdr:colOff>22860</xdr:colOff>
      <xdr:row>457</xdr:row>
      <xdr:rowOff>29135</xdr:rowOff>
    </xdr:to>
    <xdr:grpSp>
      <xdr:nvGrpSpPr>
        <xdr:cNvPr id="1574" name="Group 1573">
          <a:extLst>
            <a:ext uri="{FF2B5EF4-FFF2-40B4-BE49-F238E27FC236}">
              <a16:creationId xmlns:a16="http://schemas.microsoft.com/office/drawing/2014/main" id="{00000000-0008-0000-0200-000026060000}"/>
            </a:ext>
          </a:extLst>
        </xdr:cNvPr>
        <xdr:cNvGrpSpPr/>
      </xdr:nvGrpSpPr>
      <xdr:grpSpPr>
        <a:xfrm>
          <a:off x="60960" y="91744800"/>
          <a:ext cx="6111240" cy="1118795"/>
          <a:chOff x="60960" y="82052160"/>
          <a:chExt cx="6027420" cy="1118795"/>
        </a:xfrm>
      </xdr:grpSpPr>
      <xdr:sp macro="" textlink="">
        <xdr:nvSpPr>
          <xdr:cNvPr id="1575" name="Left pulling need">
            <a:extLst>
              <a:ext uri="{FF2B5EF4-FFF2-40B4-BE49-F238E27FC236}">
                <a16:creationId xmlns:a16="http://schemas.microsoft.com/office/drawing/2014/main" id="{00000000-0008-0000-0200-000027060000}"/>
              </a:ext>
            </a:extLst>
          </xdr:cNvPr>
          <xdr:cNvSpPr txBox="1">
            <a:spLocks/>
          </xdr:cNvSpPr>
        </xdr:nvSpPr>
        <xdr:spPr>
          <a:xfrm>
            <a:off x="60960" y="82052160"/>
            <a:ext cx="23698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our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collective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capacity</a:t>
            </a:r>
          </a:p>
        </xdr:txBody>
      </xdr:sp>
      <xdr:sp macro="" textlink="">
        <xdr:nvSpPr>
          <xdr:cNvPr id="1576" name="Right pulling need">
            <a:extLst>
              <a:ext uri="{FF2B5EF4-FFF2-40B4-BE49-F238E27FC236}">
                <a16:creationId xmlns:a16="http://schemas.microsoft.com/office/drawing/2014/main" id="{00000000-0008-0000-0200-000028060000}"/>
              </a:ext>
            </a:extLst>
          </xdr:cNvPr>
          <xdr:cNvSpPr txBox="1">
            <a:spLocks/>
          </xdr:cNvSpPr>
        </xdr:nvSpPr>
        <xdr:spPr>
          <a:xfrm>
            <a:off x="3779520" y="82052160"/>
            <a:ext cx="230886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our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individual</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capacity</a:t>
            </a:r>
          </a:p>
        </xdr:txBody>
      </xdr:sp>
      <xdr:sp macro="" textlink="">
        <xdr:nvSpPr>
          <xdr:cNvPr id="1577" name="Left pulling need">
            <a:extLst>
              <a:ext uri="{FF2B5EF4-FFF2-40B4-BE49-F238E27FC236}">
                <a16:creationId xmlns:a16="http://schemas.microsoft.com/office/drawing/2014/main" id="{00000000-0008-0000-0200-000029060000}"/>
              </a:ext>
            </a:extLst>
          </xdr:cNvPr>
          <xdr:cNvSpPr txBox="1">
            <a:spLocks/>
          </xdr:cNvSpPr>
        </xdr:nvSpPr>
        <xdr:spPr>
          <a:xfrm>
            <a:off x="62006" y="82485155"/>
            <a:ext cx="246888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shared </a:t>
            </a:r>
            <a:r>
              <a:rPr lang="en-US" sz="1100" b="0"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capacity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78" name="Right pulling need">
            <a:extLst>
              <a:ext uri="{FF2B5EF4-FFF2-40B4-BE49-F238E27FC236}">
                <a16:creationId xmlns:a16="http://schemas.microsoft.com/office/drawing/2014/main" id="{00000000-0008-0000-0200-00002A060000}"/>
              </a:ext>
            </a:extLst>
          </xdr:cNvPr>
          <xdr:cNvSpPr txBox="1">
            <a:spLocks/>
          </xdr:cNvSpPr>
        </xdr:nvSpPr>
        <xdr:spPr>
          <a:xfrm>
            <a:off x="3520440" y="82485155"/>
            <a:ext cx="256032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shared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56920</xdr:colOff>
      <xdr:row>413</xdr:row>
      <xdr:rowOff>45720</xdr:rowOff>
    </xdr:from>
    <xdr:to>
      <xdr:col>13</xdr:col>
      <xdr:colOff>61102</xdr:colOff>
      <xdr:row>420</xdr:row>
      <xdr:rowOff>172870</xdr:rowOff>
    </xdr:to>
    <xdr:grpSp>
      <xdr:nvGrpSpPr>
        <xdr:cNvPr id="1580" name="Group 1579">
          <a:extLst>
            <a:ext uri="{FF2B5EF4-FFF2-40B4-BE49-F238E27FC236}">
              <a16:creationId xmlns:a16="http://schemas.microsoft.com/office/drawing/2014/main" id="{00000000-0008-0000-0200-00002C060000}"/>
            </a:ext>
          </a:extLst>
        </xdr:cNvPr>
        <xdr:cNvGrpSpPr/>
      </xdr:nvGrpSpPr>
      <xdr:grpSpPr>
        <a:xfrm>
          <a:off x="56920" y="85168740"/>
          <a:ext cx="6153522" cy="1353970"/>
          <a:chOff x="64540" y="76702920"/>
          <a:chExt cx="6069702" cy="1353970"/>
        </a:xfrm>
      </xdr:grpSpPr>
      <xdr:sp macro="" textlink="">
        <xdr:nvSpPr>
          <xdr:cNvPr id="1581" name="Left pulling need">
            <a:extLst>
              <a:ext uri="{FF2B5EF4-FFF2-40B4-BE49-F238E27FC236}">
                <a16:creationId xmlns:a16="http://schemas.microsoft.com/office/drawing/2014/main" id="{00000000-0008-0000-0200-00002D060000}"/>
              </a:ext>
            </a:extLst>
          </xdr:cNvPr>
          <xdr:cNvSpPr txBox="1">
            <a:spLocks/>
          </xdr:cNvSpPr>
        </xdr:nvSpPr>
        <xdr:spPr>
          <a:xfrm>
            <a:off x="64540" y="76702920"/>
            <a:ext cx="2148840"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inclusion </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of the historically excluded</a:t>
            </a:r>
            <a:endParaRPr lang="en-US" sz="11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2" name="Left pulling need">
            <a:extLst>
              <a:ext uri="{FF2B5EF4-FFF2-40B4-BE49-F238E27FC236}">
                <a16:creationId xmlns:a16="http://schemas.microsoft.com/office/drawing/2014/main" id="{00000000-0008-0000-0200-00002E060000}"/>
              </a:ext>
            </a:extLst>
          </xdr:cNvPr>
          <xdr:cNvSpPr txBox="1">
            <a:spLocks/>
          </xdr:cNvSpPr>
        </xdr:nvSpPr>
        <xdr:spPr>
          <a:xfrm>
            <a:off x="71719" y="77371090"/>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inclusion</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 </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traditional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cohesion</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3" name="Right pulling need">
            <a:extLst>
              <a:ext uri="{FF2B5EF4-FFF2-40B4-BE49-F238E27FC236}">
                <a16:creationId xmlns:a16="http://schemas.microsoft.com/office/drawing/2014/main" id="{00000000-0008-0000-0200-00002F060000}"/>
              </a:ext>
            </a:extLst>
          </xdr:cNvPr>
          <xdr:cNvSpPr txBox="1">
            <a:spLocks/>
          </xdr:cNvSpPr>
        </xdr:nvSpPr>
        <xdr:spPr>
          <a:xfrm>
            <a:off x="3848242" y="77371090"/>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cohesion</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 </a:t>
            </a:r>
            <a:r>
              <a:rPr lang="en-US" sz="1100"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overlooked</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inclusion</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4" name="Right pulling need">
            <a:extLst>
              <a:ext uri="{FF2B5EF4-FFF2-40B4-BE49-F238E27FC236}">
                <a16:creationId xmlns:a16="http://schemas.microsoft.com/office/drawing/2014/main" id="{00000000-0008-0000-0200-000030060000}"/>
              </a:ext>
            </a:extLst>
          </xdr:cNvPr>
          <xdr:cNvSpPr txBox="1">
            <a:spLocks/>
          </xdr:cNvSpPr>
        </xdr:nvSpPr>
        <xdr:spPr>
          <a:xfrm>
            <a:off x="4013356" y="76718160"/>
            <a:ext cx="2118360"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cohesion </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of the traditionally grouped</a:t>
            </a:r>
            <a:endParaRPr lang="en-US" sz="11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114300</xdr:colOff>
      <xdr:row>966</xdr:row>
      <xdr:rowOff>198120</xdr:rowOff>
    </xdr:from>
    <xdr:to>
      <xdr:col>12</xdr:col>
      <xdr:colOff>487680</xdr:colOff>
      <xdr:row>969</xdr:row>
      <xdr:rowOff>175260</xdr:rowOff>
    </xdr:to>
    <xdr:sp macro="" textlink="">
      <xdr:nvSpPr>
        <xdr:cNvPr id="1592" name="TextBox 1591">
          <a:extLst>
            <a:ext uri="{FF2B5EF4-FFF2-40B4-BE49-F238E27FC236}">
              <a16:creationId xmlns:a16="http://schemas.microsoft.com/office/drawing/2014/main" id="{00000000-0008-0000-0200-000038060000}"/>
            </a:ext>
          </a:extLst>
        </xdr:cNvPr>
        <xdr:cNvSpPr txBox="1"/>
      </xdr:nvSpPr>
      <xdr:spPr>
        <a:xfrm>
          <a:off x="114300" y="178323240"/>
          <a:ext cx="5943600" cy="784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spc="-30" baseline="0">
              <a:solidFill>
                <a:schemeClr val="dk1"/>
              </a:solidFill>
              <a:latin typeface="Tahoma" panose="020B0604030504040204" pitchFamily="34" charset="0"/>
              <a:ea typeface="Tahoma" panose="020B0604030504040204" pitchFamily="34" charset="0"/>
              <a:cs typeface="Tahoma" panose="020B0604030504040204" pitchFamily="34" charset="0"/>
            </a:rPr>
            <a:t>Politics turns tribal when it binds the needy into camps sharing the same prioritized needs. Then rally its members into opposing any other camp prioritizing a different set of needs. Each side focuses less and less on resolving needs, keeping us all needy and stuck in pain. And in perpetual yet pointless conflict. Contrast this with </a:t>
          </a:r>
          <a:r>
            <a:rPr lang="en-US" sz="1200" spc="-3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Harmony Politics</a:t>
          </a:r>
          <a:r>
            <a:rPr lang="en-US" sz="1200" spc="-30" baseline="0">
              <a:solidFill>
                <a:schemeClr val="dk1"/>
              </a:solidFill>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0</xdr:col>
      <xdr:colOff>91440</xdr:colOff>
      <xdr:row>492</xdr:row>
      <xdr:rowOff>83820</xdr:rowOff>
    </xdr:from>
    <xdr:to>
      <xdr:col>6</xdr:col>
      <xdr:colOff>259080</xdr:colOff>
      <xdr:row>498</xdr:row>
      <xdr:rowOff>129540</xdr:rowOff>
    </xdr:to>
    <xdr:sp macro="" textlink="">
      <xdr:nvSpPr>
        <xdr:cNvPr id="1593" name="You believe whatever serves your needs.">
          <a:extLst>
            <a:ext uri="{FF2B5EF4-FFF2-40B4-BE49-F238E27FC236}">
              <a16:creationId xmlns:a16="http://schemas.microsoft.com/office/drawing/2014/main" id="{00000000-0008-0000-0200-000039060000}"/>
            </a:ext>
          </a:extLst>
        </xdr:cNvPr>
        <xdr:cNvSpPr txBox="1">
          <a:spLocks/>
        </xdr:cNvSpPr>
      </xdr:nvSpPr>
      <xdr:spPr>
        <a:xfrm>
          <a:off x="91440" y="90662760"/>
          <a:ext cx="2766060" cy="1097280"/>
        </a:xfrm>
        <a:prstGeom prst="rect">
          <a:avLst/>
        </a:prstGeom>
        <a:solidFill>
          <a:srgbClr val="660066">
            <a:alpha val="60000"/>
          </a:srgbClr>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If you are a </a:t>
          </a:r>
          <a:r>
            <a:rPr lang="en-US" sz="1200" b="0">
              <a:ln>
                <a:solidFill>
                  <a:srgbClr val="00B0F0"/>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wide-oriented liberal</a:t>
          </a:r>
          <a:r>
            <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you vehemently</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oppose </a:t>
          </a:r>
          <a:r>
            <a:rPr lang="en-US" sz="1200" b="0" baseline="0">
              <a:ln>
                <a:solidFill>
                  <a:srgbClr val="FF7171"/>
                </a:solidFill>
              </a:ln>
              <a:solidFill>
                <a:srgbClr val="FFD7DC"/>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conservatives</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you are perpetuating </a:t>
          </a:r>
          <a:r>
            <a:rPr lang="en-US" sz="1200" b="0" kern="1200" baseline="0">
              <a:ln>
                <a:solidFill>
                  <a:srgbClr val="FFFF00"/>
                </a:solidFill>
              </a:ln>
              <a:solidFill>
                <a:srgbClr val="FFFF00"/>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They are not your enemy. Unresolved needs are your true foe. They directly create </a:t>
          </a:r>
          <a:r>
            <a:rPr lang="en-US" sz="1200" b="0" baseline="0">
              <a:ln>
                <a:solidFill>
                  <a:srgbClr val="FFFF00"/>
                </a:solidFill>
              </a:ln>
              <a:solidFill>
                <a:srgbClr val="FFFF00"/>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213360</xdr:colOff>
      <xdr:row>492</xdr:row>
      <xdr:rowOff>83820</xdr:rowOff>
    </xdr:from>
    <xdr:to>
      <xdr:col>13</xdr:col>
      <xdr:colOff>15240</xdr:colOff>
      <xdr:row>498</xdr:row>
      <xdr:rowOff>129540</xdr:rowOff>
    </xdr:to>
    <xdr:sp macro="" textlink="">
      <xdr:nvSpPr>
        <xdr:cNvPr id="1594" name="You believe whatever serves your needs.">
          <a:extLst>
            <a:ext uri="{FF2B5EF4-FFF2-40B4-BE49-F238E27FC236}">
              <a16:creationId xmlns:a16="http://schemas.microsoft.com/office/drawing/2014/main" id="{00000000-0008-0000-0200-00003A060000}"/>
            </a:ext>
          </a:extLst>
        </xdr:cNvPr>
        <xdr:cNvSpPr txBox="1">
          <a:spLocks/>
        </xdr:cNvSpPr>
      </xdr:nvSpPr>
      <xdr:spPr>
        <a:xfrm>
          <a:off x="3307080" y="90662760"/>
          <a:ext cx="2773680" cy="1097280"/>
        </a:xfrm>
        <a:prstGeom prst="rect">
          <a:avLst/>
        </a:prstGeom>
        <a:solidFill>
          <a:srgbClr val="660066">
            <a:alpha val="60000"/>
          </a:srgbClr>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1200" b="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If you are a </a:t>
          </a:r>
          <a:r>
            <a:rPr lang="en-US" sz="1200" b="0">
              <a:ln>
                <a:solidFill>
                  <a:srgbClr val="FF7171"/>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deep-oriented conservative</a:t>
          </a:r>
          <a:r>
            <a:rPr lang="en-US" sz="1200" b="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you vehemently</a:t>
          </a:r>
          <a:r>
            <a:rPr lang="en-US" sz="1200" b="0" baseline="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oppose </a:t>
          </a:r>
          <a:r>
            <a:rPr lang="en-US" sz="1200" b="0" baseline="0">
              <a:ln>
                <a:solidFill>
                  <a:srgbClr val="00B0F0"/>
                </a:solidFill>
              </a:ln>
              <a:solidFill>
                <a:schemeClr val="accent5">
                  <a:lumMod val="20000"/>
                  <a:lumOff val="80000"/>
                </a:schemeClr>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liberals</a:t>
          </a:r>
          <a:r>
            <a:rPr lang="en-US" sz="1200" b="0" baseline="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you are perpetuating </a:t>
          </a:r>
          <a:r>
            <a:rPr lang="en-US" sz="1200" b="0" kern="1200">
              <a:ln>
                <a:solidFill>
                  <a:srgbClr val="FFFF00"/>
                </a:solidFill>
              </a:ln>
              <a:solidFill>
                <a:srgbClr val="FFFF00"/>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They are not your enemy. Unresolved needs are your true foe. They directly create your </a:t>
          </a:r>
          <a:r>
            <a:rPr lang="en-US" sz="1200" b="0" kern="1200">
              <a:ln>
                <a:solidFill>
                  <a:srgbClr val="FFFF00"/>
                </a:solidFill>
              </a:ln>
              <a:solidFill>
                <a:srgbClr val="FFFF00"/>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0</xdr:col>
      <xdr:colOff>22860</xdr:colOff>
      <xdr:row>640</xdr:row>
      <xdr:rowOff>7620</xdr:rowOff>
    </xdr:from>
    <xdr:to>
      <xdr:col>13</xdr:col>
      <xdr:colOff>68580</xdr:colOff>
      <xdr:row>645</xdr:row>
      <xdr:rowOff>29633</xdr:rowOff>
    </xdr:to>
    <xdr:sp macro="" textlink="">
      <xdr:nvSpPr>
        <xdr:cNvPr id="1604" name="TextBox 1603">
          <a:extLst>
            <a:ext uri="{FF2B5EF4-FFF2-40B4-BE49-F238E27FC236}">
              <a16:creationId xmlns:a16="http://schemas.microsoft.com/office/drawing/2014/main" id="{00000000-0008-0000-0200-000044060000}"/>
            </a:ext>
          </a:extLst>
        </xdr:cNvPr>
        <xdr:cNvSpPr txBox="1"/>
      </xdr:nvSpPr>
      <xdr:spPr>
        <a:xfrm>
          <a:off x="22860" y="125981460"/>
          <a:ext cx="6111240" cy="8983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a:latin typeface="Tahoma" panose="020B0604030504040204" pitchFamily="34" charset="0"/>
              <a:ea typeface="Tahoma" panose="020B0604030504040204" pitchFamily="34" charset="0"/>
              <a:cs typeface="Tahoma" panose="020B0604030504040204" pitchFamily="34" charset="0"/>
            </a:rPr>
            <a:t>The visible</a:t>
          </a:r>
          <a:r>
            <a:rPr lang="en-US" sz="1100" baseline="0">
              <a:latin typeface="Tahoma" panose="020B0604030504040204" pitchFamily="34" charset="0"/>
              <a:ea typeface="Tahoma" panose="020B0604030504040204" pitchFamily="34" charset="0"/>
              <a:cs typeface="Tahoma" panose="020B0604030504040204" pitchFamily="34" charset="0"/>
            </a:rPr>
            <a:t> </a:t>
          </a:r>
          <a:r>
            <a:rPr lang="en-US" sz="1100">
              <a:latin typeface="Tahoma" panose="020B0604030504040204" pitchFamily="34" charset="0"/>
              <a:ea typeface="Tahoma" panose="020B0604030504040204" pitchFamily="34" charset="0"/>
              <a:cs typeface="Tahoma" panose="020B0604030504040204" pitchFamily="34" charset="0"/>
            </a:rPr>
            <a:t>political spectrum expresses</a:t>
          </a:r>
          <a:r>
            <a:rPr lang="en-US" sz="1100" baseline="0">
              <a:latin typeface="Tahoma" panose="020B0604030504040204" pitchFamily="34" charset="0"/>
              <a:ea typeface="Tahoma" panose="020B0604030504040204" pitchFamily="34" charset="0"/>
              <a:cs typeface="Tahoma" panose="020B0604030504040204" pitchFamily="34" charset="0"/>
            </a:rPr>
            <a:t> an invisible </a:t>
          </a:r>
          <a:r>
            <a:rPr lang="en-US" sz="1100" b="0" i="1" baseline="0">
              <a:latin typeface="Tahoma" panose="020B0604030504040204" pitchFamily="34" charset="0"/>
              <a:ea typeface="Tahoma" panose="020B0604030504040204" pitchFamily="34" charset="0"/>
              <a:cs typeface="Tahoma" panose="020B0604030504040204" pitchFamily="34" charset="0"/>
            </a:rPr>
            <a:t>psychosocial orientation continuum</a:t>
          </a:r>
          <a:r>
            <a:rPr lang="en-US" sz="1100" baseline="0">
              <a:latin typeface="Tahoma" panose="020B0604030504040204" pitchFamily="34" charset="0"/>
              <a:ea typeface="Tahoma" panose="020B0604030504040204" pitchFamily="34" charset="0"/>
              <a:cs typeface="Tahoma" panose="020B0604030504040204" pitchFamily="34" charset="0"/>
            </a:rPr>
            <a:t>. </a:t>
          </a:r>
          <a:endParaRPr lang="en-US" sz="1100">
            <a:latin typeface="Tahoma" panose="020B0604030504040204" pitchFamily="34" charset="0"/>
            <a:ea typeface="Tahoma" panose="020B0604030504040204" pitchFamily="34" charset="0"/>
            <a:cs typeface="Tahoma" panose="020B0604030504040204" pitchFamily="34" charset="0"/>
          </a:endParaRPr>
        </a:p>
        <a:p>
          <a:pPr algn="l"/>
          <a:r>
            <a:rPr lang="en-US" sz="1100">
              <a:latin typeface="Tahoma" panose="020B0604030504040204" pitchFamily="34" charset="0"/>
              <a:ea typeface="Tahoma" panose="020B0604030504040204" pitchFamily="34" charset="0"/>
              <a:cs typeface="Tahoma" panose="020B0604030504040204" pitchFamily="34" charset="0"/>
            </a:rPr>
            <a:t>The </a:t>
          </a:r>
          <a:r>
            <a:rPr lang="en-US" sz="1100" i="1">
              <a:latin typeface="Tahoma" panose="020B0604030504040204" pitchFamily="34" charset="0"/>
              <a:ea typeface="Tahoma" panose="020B0604030504040204" pitchFamily="34" charset="0"/>
              <a:cs typeface="Tahoma" panose="020B0604030504040204" pitchFamily="34" charset="0"/>
            </a:rPr>
            <a:t>less</a:t>
          </a:r>
          <a:r>
            <a:rPr lang="en-US" sz="1100">
              <a:latin typeface="Tahoma" panose="020B0604030504040204" pitchFamily="34" charset="0"/>
              <a:ea typeface="Tahoma" panose="020B0604030504040204" pitchFamily="34" charset="0"/>
              <a:cs typeface="Tahoma" panose="020B0604030504040204" pitchFamily="34" charset="0"/>
            </a:rPr>
            <a:t> your </a:t>
          </a:r>
          <a:r>
            <a:rPr lang="en-US" sz="1100">
              <a:ln>
                <a:solidFill>
                  <a:srgbClr val="7030A0"/>
                </a:solidFill>
              </a:ln>
              <a:solidFill>
                <a:srgbClr val="CC66FF"/>
              </a:solidFill>
              <a:latin typeface="Tahoma" panose="020B0604030504040204" pitchFamily="34" charset="0"/>
              <a:ea typeface="Tahoma" panose="020B0604030504040204" pitchFamily="34" charset="0"/>
              <a:cs typeface="Tahoma" panose="020B0604030504040204" pitchFamily="34" charset="0"/>
            </a:rPr>
            <a:t>social-needs</a:t>
          </a:r>
          <a:r>
            <a:rPr lang="en-US" sz="1100">
              <a:latin typeface="Tahoma" panose="020B0604030504040204" pitchFamily="34" charset="0"/>
              <a:ea typeface="Tahoma" panose="020B0604030504040204" pitchFamily="34" charset="0"/>
              <a:cs typeface="Tahoma" panose="020B0604030504040204" pitchFamily="34" charset="0"/>
            </a:rPr>
            <a:t> resolve in your current social situation, the further </a:t>
          </a:r>
          <a:r>
            <a:rPr lang="en-US" sz="1100">
              <a:ln>
                <a:solidFill>
                  <a:srgbClr val="0070C0"/>
                </a:solidFill>
              </a:ln>
              <a:solidFill>
                <a:srgbClr val="00B0F0"/>
              </a:solidFill>
              <a:latin typeface="Tahoma" panose="020B0604030504040204" pitchFamily="34" charset="0"/>
              <a:ea typeface="Tahoma" panose="020B0604030504040204" pitchFamily="34" charset="0"/>
              <a:cs typeface="Tahoma" panose="020B0604030504040204" pitchFamily="34" charset="0"/>
            </a:rPr>
            <a:t>leftward</a:t>
          </a:r>
          <a:r>
            <a:rPr lang="en-US" sz="1100">
              <a:latin typeface="Tahoma" panose="020B0604030504040204" pitchFamily="34" charset="0"/>
              <a:ea typeface="Tahoma" panose="020B0604030504040204" pitchFamily="34" charset="0"/>
              <a:cs typeface="Tahoma" panose="020B0604030504040204" pitchFamily="34" charset="0"/>
            </a:rPr>
            <a:t> you </a:t>
          </a:r>
          <a:r>
            <a:rPr lang="en-US" sz="1100" spc="-10">
              <a:latin typeface="Tahoma" panose="020B0604030504040204" pitchFamily="34" charset="0"/>
              <a:ea typeface="Tahoma" panose="020B0604030504040204" pitchFamily="34" charset="0"/>
              <a:cs typeface="Tahoma" panose="020B0604030504040204" pitchFamily="34" charset="0"/>
            </a:rPr>
            <a:t>find yourself.</a:t>
          </a:r>
          <a:r>
            <a:rPr lang="en-US" sz="1100" spc="-10" baseline="0">
              <a:latin typeface="Tahoma" panose="020B0604030504040204" pitchFamily="34" charset="0"/>
              <a:ea typeface="Tahoma" panose="020B0604030504040204" pitchFamily="34" charset="0"/>
              <a:cs typeface="Tahoma" panose="020B0604030504040204" pitchFamily="34" charset="0"/>
            </a:rPr>
            <a:t> The </a:t>
          </a:r>
          <a:r>
            <a:rPr lang="en-US" sz="1100" i="1" spc="-10" baseline="0">
              <a:latin typeface="Tahoma" panose="020B0604030504040204" pitchFamily="34" charset="0"/>
              <a:ea typeface="Tahoma" panose="020B0604030504040204" pitchFamily="34" charset="0"/>
              <a:cs typeface="Tahoma" panose="020B0604030504040204" pitchFamily="34" charset="0"/>
            </a:rPr>
            <a:t>more</a:t>
          </a:r>
          <a:r>
            <a:rPr lang="en-US" sz="1100" spc="-10" baseline="0">
              <a:latin typeface="Tahoma" panose="020B0604030504040204" pitchFamily="34" charset="0"/>
              <a:ea typeface="Tahoma" panose="020B0604030504040204" pitchFamily="34" charset="0"/>
              <a:cs typeface="Tahoma" panose="020B0604030504040204" pitchFamily="34" charset="0"/>
            </a:rPr>
            <a:t> provoked by your social situation to guard your </a:t>
          </a:r>
          <a:r>
            <a:rPr lang="en-US" sz="1100" spc="-10" baseline="0">
              <a:ln>
                <a:solidFill>
                  <a:srgbClr val="7030A0"/>
                </a:solidFill>
              </a:ln>
              <a:solidFill>
                <a:srgbClr val="CC66FF"/>
              </a:solidFill>
              <a:latin typeface="Tahoma" panose="020B0604030504040204" pitchFamily="34" charset="0"/>
              <a:ea typeface="Tahoma" panose="020B0604030504040204" pitchFamily="34" charset="0"/>
              <a:cs typeface="Tahoma" panose="020B0604030504040204" pitchFamily="34" charset="0"/>
            </a:rPr>
            <a:t>social-needs</a:t>
          </a:r>
          <a:r>
            <a:rPr lang="en-US" sz="1100" baseline="0">
              <a:latin typeface="Tahoma" panose="020B0604030504040204" pitchFamily="34" charset="0"/>
              <a:ea typeface="Tahoma" panose="020B0604030504040204" pitchFamily="34" charset="0"/>
              <a:cs typeface="Tahoma" panose="020B0604030504040204" pitchFamily="34" charset="0"/>
            </a:rPr>
            <a:t>, the further </a:t>
          </a:r>
          <a:r>
            <a:rPr lang="en-US" sz="110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rPr>
            <a:t>rightward</a:t>
          </a:r>
          <a:r>
            <a:rPr lang="en-US" sz="1100" baseline="0">
              <a:latin typeface="Tahoma" panose="020B0604030504040204" pitchFamily="34" charset="0"/>
              <a:ea typeface="Tahoma" panose="020B0604030504040204" pitchFamily="34" charset="0"/>
              <a:cs typeface="Tahoma" panose="020B0604030504040204" pitchFamily="34" charset="0"/>
            </a:rPr>
            <a:t> you find yourself. Your needs drive the direction of your politics.</a:t>
          </a:r>
        </a:p>
      </xdr:txBody>
    </xdr:sp>
    <xdr:clientData/>
  </xdr:twoCellAnchor>
  <xdr:twoCellAnchor>
    <xdr:from>
      <xdr:col>0</xdr:col>
      <xdr:colOff>99060</xdr:colOff>
      <xdr:row>721</xdr:row>
      <xdr:rowOff>99061</xdr:rowOff>
    </xdr:from>
    <xdr:to>
      <xdr:col>12</xdr:col>
      <xdr:colOff>472440</xdr:colOff>
      <xdr:row>726</xdr:row>
      <xdr:rowOff>22861</xdr:rowOff>
    </xdr:to>
    <xdr:sp macro="" textlink="">
      <xdr:nvSpPr>
        <xdr:cNvPr id="1609" name="TextBox 1608">
          <a:extLst>
            <a:ext uri="{FF2B5EF4-FFF2-40B4-BE49-F238E27FC236}">
              <a16:creationId xmlns:a16="http://schemas.microsoft.com/office/drawing/2014/main" id="{00000000-0008-0000-0200-000049060000}"/>
            </a:ext>
          </a:extLst>
        </xdr:cNvPr>
        <xdr:cNvSpPr txBox="1"/>
      </xdr:nvSpPr>
      <xdr:spPr>
        <a:xfrm>
          <a:off x="99060" y="132222241"/>
          <a:ext cx="5943600" cy="800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spcAft>
              <a:spcPts val="600"/>
            </a:spcAft>
          </a:pPr>
          <a:r>
            <a:rPr lang="en-US" sz="2000" b="1">
              <a:latin typeface="Verdana" panose="020B0604030504040204" pitchFamily="34" charset="0"/>
              <a:ea typeface="Verdana" panose="020B0604030504040204" pitchFamily="34" charset="0"/>
            </a:rPr>
            <a:t>Hating elites does</a:t>
          </a:r>
          <a:r>
            <a:rPr lang="en-US" sz="2000" b="1" baseline="0">
              <a:latin typeface="Verdana" panose="020B0604030504040204" pitchFamily="34" charset="0"/>
              <a:ea typeface="Verdana" panose="020B0604030504040204" pitchFamily="34" charset="0"/>
            </a:rPr>
            <a:t> not really help</a:t>
          </a:r>
          <a:endParaRPr lang="en-US" sz="2000" b="1">
            <a:latin typeface="Verdana" panose="020B0604030504040204" pitchFamily="34" charset="0"/>
            <a:ea typeface="Verdana" panose="020B0604030504040204" pitchFamily="34" charset="0"/>
          </a:endParaRPr>
        </a:p>
        <a:p>
          <a:pPr algn="l"/>
          <a:r>
            <a:rPr lang="en-US" sz="1200" spc="20">
              <a:latin typeface="Tahoma" panose="020B0604030504040204" pitchFamily="34" charset="0"/>
              <a:ea typeface="Tahoma" panose="020B0604030504040204" pitchFamily="34" charset="0"/>
              <a:cs typeface="Tahoma" panose="020B0604030504040204" pitchFamily="34" charset="0"/>
            </a:rPr>
            <a:t>Let's be clear. Political elites</a:t>
          </a:r>
          <a:r>
            <a:rPr lang="en-US" sz="1200" spc="20" baseline="0">
              <a:latin typeface="Tahoma" panose="020B0604030504040204" pitchFamily="34" charset="0"/>
              <a:ea typeface="Tahoma" panose="020B0604030504040204" pitchFamily="34" charset="0"/>
              <a:cs typeface="Tahoma" panose="020B0604030504040204" pitchFamily="34" charset="0"/>
            </a:rPr>
            <a:t> as a lot are not innately flawed. They are a product of </a:t>
          </a:r>
          <a:r>
            <a:rPr lang="en-US" sz="1200" spc="10" baseline="0">
              <a:latin typeface="Tahoma" panose="020B0604030504040204" pitchFamily="34" charset="0"/>
              <a:ea typeface="Tahoma" panose="020B0604030504040204" pitchFamily="34" charset="0"/>
              <a:cs typeface="Tahoma" panose="020B0604030504040204" pitchFamily="34" charset="0"/>
            </a:rPr>
            <a:t>our</a:t>
          </a:r>
          <a:r>
            <a:rPr lang="en-US" sz="1200" spc="20" baseline="0">
              <a:latin typeface="Tahoma" panose="020B0604030504040204" pitchFamily="34" charset="0"/>
              <a:ea typeface="Tahoma" panose="020B0604030504040204" pitchFamily="34" charset="0"/>
              <a:cs typeface="Tahoma" panose="020B0604030504040204" pitchFamily="34" charset="0"/>
            </a:rPr>
            <a:t> </a:t>
          </a:r>
          <a:r>
            <a:rPr lang="en-US" sz="1200" spc="10" baseline="0">
              <a:latin typeface="Tahoma" panose="020B0604030504040204" pitchFamily="34" charset="0"/>
              <a:ea typeface="Tahoma" panose="020B0604030504040204" pitchFamily="34" charset="0"/>
              <a:cs typeface="Tahoma" panose="020B0604030504040204" pitchFamily="34" charset="0"/>
            </a:rPr>
            <a:t>large impersonal society. Such politics plays less of a role in small tribal societies. </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30480</xdr:colOff>
      <xdr:row>624</xdr:row>
      <xdr:rowOff>45720</xdr:rowOff>
    </xdr:from>
    <xdr:to>
      <xdr:col>12</xdr:col>
      <xdr:colOff>434340</xdr:colOff>
      <xdr:row>628</xdr:row>
      <xdr:rowOff>167640</xdr:rowOff>
    </xdr:to>
    <xdr:sp macro="" textlink="">
      <xdr:nvSpPr>
        <xdr:cNvPr id="1610" name="You believe whatever serves your needs.">
          <a:extLst>
            <a:ext uri="{FF2B5EF4-FFF2-40B4-BE49-F238E27FC236}">
              <a16:creationId xmlns:a16="http://schemas.microsoft.com/office/drawing/2014/main" id="{00000000-0008-0000-0200-00004A060000}"/>
            </a:ext>
          </a:extLst>
        </xdr:cNvPr>
        <xdr:cNvSpPr txBox="1">
          <a:spLocks/>
        </xdr:cNvSpPr>
      </xdr:nvSpPr>
      <xdr:spPr>
        <a:xfrm>
          <a:off x="152400" y="123093480"/>
          <a:ext cx="5852160" cy="8229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a:t>
          </a:r>
          <a:r>
            <a:rPr lang="en-US" sz="1800" b="1"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is not like their </a:t>
          </a:r>
          <a:r>
            <a:rPr lang="en-US" sz="1800" b="1"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So why expect</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800" b="1" i="0" spc="70" baseline="0">
              <a:ln w="9525">
                <a:solidFill>
                  <a:srgbClr val="F0CDFF"/>
                </a:solidFill>
              </a:ln>
              <a:solidFill>
                <a:srgbClr val="FF99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one-size-fits-all politics</a:t>
          </a:r>
          <a:r>
            <a:rPr lang="en-US" sz="1800" b="1" i="1" spc="7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to relieve your </a:t>
          </a:r>
          <a:r>
            <a:rPr lang="en-US" sz="1800" b="1" kern="1200"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a:t>
          </a:r>
          <a:endParaRPr lang="en-US" sz="1800" b="1" kern="1200" spc="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37336</xdr:colOff>
      <xdr:row>628</xdr:row>
      <xdr:rowOff>97478</xdr:rowOff>
    </xdr:from>
    <xdr:to>
      <xdr:col>13</xdr:col>
      <xdr:colOff>64335</xdr:colOff>
      <xdr:row>640</xdr:row>
      <xdr:rowOff>0</xdr:rowOff>
    </xdr:to>
    <xdr:grpSp>
      <xdr:nvGrpSpPr>
        <xdr:cNvPr id="1611" name="Group 1610">
          <a:extLst>
            <a:ext uri="{FF2B5EF4-FFF2-40B4-BE49-F238E27FC236}">
              <a16:creationId xmlns:a16="http://schemas.microsoft.com/office/drawing/2014/main" id="{00000000-0008-0000-0200-00004B060000}"/>
            </a:ext>
          </a:extLst>
        </xdr:cNvPr>
        <xdr:cNvGrpSpPr/>
      </xdr:nvGrpSpPr>
      <xdr:grpSpPr>
        <a:xfrm>
          <a:off x="37336" y="124052018"/>
          <a:ext cx="6176339" cy="2005642"/>
          <a:chOff x="295784" y="107859518"/>
          <a:chExt cx="5607875" cy="2021867"/>
        </a:xfrm>
      </xdr:grpSpPr>
      <xdr:grpSp>
        <xdr:nvGrpSpPr>
          <xdr:cNvPr id="1612" name="Group 1611">
            <a:extLst>
              <a:ext uri="{FF2B5EF4-FFF2-40B4-BE49-F238E27FC236}">
                <a16:creationId xmlns:a16="http://schemas.microsoft.com/office/drawing/2014/main" id="{00000000-0008-0000-0200-00004C060000}"/>
              </a:ext>
            </a:extLst>
          </xdr:cNvPr>
          <xdr:cNvGrpSpPr>
            <a:grpSpLocks noChangeAspect="1"/>
          </xdr:cNvGrpSpPr>
        </xdr:nvGrpSpPr>
        <xdr:grpSpPr>
          <a:xfrm>
            <a:off x="3672553" y="107859518"/>
            <a:ext cx="790042" cy="1982459"/>
            <a:chOff x="14944724" y="104774999"/>
            <a:chExt cx="1371601" cy="3409948"/>
          </a:xfrm>
        </xdr:grpSpPr>
        <xdr:grpSp>
          <xdr:nvGrpSpPr>
            <xdr:cNvPr id="1799" name="Group 1798">
              <a:extLst>
                <a:ext uri="{FF2B5EF4-FFF2-40B4-BE49-F238E27FC236}">
                  <a16:creationId xmlns:a16="http://schemas.microsoft.com/office/drawing/2014/main" id="{00000000-0008-0000-0200-000007070000}"/>
                </a:ext>
              </a:extLst>
            </xdr:cNvPr>
            <xdr:cNvGrpSpPr/>
          </xdr:nvGrpSpPr>
          <xdr:grpSpPr>
            <a:xfrm>
              <a:off x="14944724" y="105441747"/>
              <a:ext cx="1053296" cy="2743200"/>
              <a:chOff x="14944724" y="105441747"/>
              <a:chExt cx="1053296" cy="2743200"/>
            </a:xfrm>
          </xdr:grpSpPr>
          <xdr:grpSp>
            <xdr:nvGrpSpPr>
              <xdr:cNvPr id="1801" name="Group 1800">
                <a:extLst>
                  <a:ext uri="{FF2B5EF4-FFF2-40B4-BE49-F238E27FC236}">
                    <a16:creationId xmlns:a16="http://schemas.microsoft.com/office/drawing/2014/main" id="{00000000-0008-0000-0200-00000907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806" name="Rectangle: Rounded Corners 1805">
                  <a:extLst>
                    <a:ext uri="{FF2B5EF4-FFF2-40B4-BE49-F238E27FC236}">
                      <a16:creationId xmlns:a16="http://schemas.microsoft.com/office/drawing/2014/main" id="{00000000-0008-0000-0200-00000E07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07" name="Rectangle: Rounded Corners 1806">
                  <a:extLst>
                    <a:ext uri="{FF2B5EF4-FFF2-40B4-BE49-F238E27FC236}">
                      <a16:creationId xmlns:a16="http://schemas.microsoft.com/office/drawing/2014/main" id="{00000000-0008-0000-0200-00000F07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08" name="Rectangle: Rounded Corners 1807">
                  <a:extLst>
                    <a:ext uri="{FF2B5EF4-FFF2-40B4-BE49-F238E27FC236}">
                      <a16:creationId xmlns:a16="http://schemas.microsoft.com/office/drawing/2014/main" id="{00000000-0008-0000-0200-00001007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18" name="Rectangle: Rounded Corners 1817">
                  <a:extLst>
                    <a:ext uri="{FF2B5EF4-FFF2-40B4-BE49-F238E27FC236}">
                      <a16:creationId xmlns:a16="http://schemas.microsoft.com/office/drawing/2014/main" id="{00000000-0008-0000-0200-00001A07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20" name="Rectangle: Rounded Corners 1819">
                  <a:extLst>
                    <a:ext uri="{FF2B5EF4-FFF2-40B4-BE49-F238E27FC236}">
                      <a16:creationId xmlns:a16="http://schemas.microsoft.com/office/drawing/2014/main" id="{00000000-0008-0000-0200-00001C07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90" name="Rectangle: Rounded Corners 1889">
                  <a:extLst>
                    <a:ext uri="{FF2B5EF4-FFF2-40B4-BE49-F238E27FC236}">
                      <a16:creationId xmlns:a16="http://schemas.microsoft.com/office/drawing/2014/main" id="{00000000-0008-0000-0200-00006207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91" name="Rectangle: Rounded Corners 1890">
                  <a:extLst>
                    <a:ext uri="{FF2B5EF4-FFF2-40B4-BE49-F238E27FC236}">
                      <a16:creationId xmlns:a16="http://schemas.microsoft.com/office/drawing/2014/main" id="{00000000-0008-0000-0200-00006307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802" name="Group 1801">
                <a:extLst>
                  <a:ext uri="{FF2B5EF4-FFF2-40B4-BE49-F238E27FC236}">
                    <a16:creationId xmlns:a16="http://schemas.microsoft.com/office/drawing/2014/main" id="{00000000-0008-0000-0200-00000A070000}"/>
                  </a:ext>
                </a:extLst>
              </xdr:cNvPr>
              <xdr:cNvGrpSpPr/>
            </xdr:nvGrpSpPr>
            <xdr:grpSpPr>
              <a:xfrm>
                <a:off x="15001875" y="106064797"/>
                <a:ext cx="953589" cy="1109382"/>
                <a:chOff x="-11112" y="0"/>
                <a:chExt cx="1112519" cy="1371600"/>
              </a:xfrm>
            </xdr:grpSpPr>
            <xdr:sp macro="" textlink="">
              <xdr:nvSpPr>
                <xdr:cNvPr id="1803" name="Rectangle 1802">
                  <a:extLst>
                    <a:ext uri="{FF2B5EF4-FFF2-40B4-BE49-F238E27FC236}">
                      <a16:creationId xmlns:a16="http://schemas.microsoft.com/office/drawing/2014/main" id="{00000000-0008-0000-0200-00000B07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804" name="Rectangle 1803">
                  <a:extLst>
                    <a:ext uri="{FF2B5EF4-FFF2-40B4-BE49-F238E27FC236}">
                      <a16:creationId xmlns:a16="http://schemas.microsoft.com/office/drawing/2014/main" id="{00000000-0008-0000-0200-00000C07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805" name="Straight Connector 1804">
                  <a:extLst>
                    <a:ext uri="{FF2B5EF4-FFF2-40B4-BE49-F238E27FC236}">
                      <a16:creationId xmlns:a16="http://schemas.microsoft.com/office/drawing/2014/main" id="{00000000-0008-0000-0200-00000D07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800" name="Thought Bubble: Cloud 1799">
              <a:extLst>
                <a:ext uri="{FF2B5EF4-FFF2-40B4-BE49-F238E27FC236}">
                  <a16:creationId xmlns:a16="http://schemas.microsoft.com/office/drawing/2014/main" id="{00000000-0008-0000-0200-00000807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3" name="Group 1612">
            <a:extLst>
              <a:ext uri="{FF2B5EF4-FFF2-40B4-BE49-F238E27FC236}">
                <a16:creationId xmlns:a16="http://schemas.microsoft.com/office/drawing/2014/main" id="{00000000-0008-0000-0200-00004D060000}"/>
              </a:ext>
            </a:extLst>
          </xdr:cNvPr>
          <xdr:cNvGrpSpPr>
            <a:grpSpLocks noChangeAspect="1"/>
          </xdr:cNvGrpSpPr>
        </xdr:nvGrpSpPr>
        <xdr:grpSpPr>
          <a:xfrm>
            <a:off x="5228833" y="107882313"/>
            <a:ext cx="674826" cy="1982459"/>
            <a:chOff x="14921419" y="104774999"/>
            <a:chExt cx="1171575" cy="3409948"/>
          </a:xfrm>
        </xdr:grpSpPr>
        <xdr:grpSp>
          <xdr:nvGrpSpPr>
            <xdr:cNvPr id="1785" name="Group 1784">
              <a:extLst>
                <a:ext uri="{FF2B5EF4-FFF2-40B4-BE49-F238E27FC236}">
                  <a16:creationId xmlns:a16="http://schemas.microsoft.com/office/drawing/2014/main" id="{00000000-0008-0000-0200-0000F9060000}"/>
                </a:ext>
              </a:extLst>
            </xdr:cNvPr>
            <xdr:cNvGrpSpPr/>
          </xdr:nvGrpSpPr>
          <xdr:grpSpPr>
            <a:xfrm>
              <a:off x="14944724" y="105441747"/>
              <a:ext cx="1053296" cy="2743200"/>
              <a:chOff x="14944724" y="105441747"/>
              <a:chExt cx="1053296" cy="2743200"/>
            </a:xfrm>
          </xdr:grpSpPr>
          <xdr:grpSp>
            <xdr:nvGrpSpPr>
              <xdr:cNvPr id="1787" name="Group 1786">
                <a:extLst>
                  <a:ext uri="{FF2B5EF4-FFF2-40B4-BE49-F238E27FC236}">
                    <a16:creationId xmlns:a16="http://schemas.microsoft.com/office/drawing/2014/main" id="{00000000-0008-0000-0200-0000FB06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792" name="Rectangle: Rounded Corners 1791">
                  <a:extLst>
                    <a:ext uri="{FF2B5EF4-FFF2-40B4-BE49-F238E27FC236}">
                      <a16:creationId xmlns:a16="http://schemas.microsoft.com/office/drawing/2014/main" id="{00000000-0008-0000-0200-00000007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3" name="Rectangle: Rounded Corners 1792">
                  <a:extLst>
                    <a:ext uri="{FF2B5EF4-FFF2-40B4-BE49-F238E27FC236}">
                      <a16:creationId xmlns:a16="http://schemas.microsoft.com/office/drawing/2014/main" id="{00000000-0008-0000-0200-00000107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4" name="Rectangle: Rounded Corners 1793">
                  <a:extLst>
                    <a:ext uri="{FF2B5EF4-FFF2-40B4-BE49-F238E27FC236}">
                      <a16:creationId xmlns:a16="http://schemas.microsoft.com/office/drawing/2014/main" id="{00000000-0008-0000-0200-00000207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5" name="Rectangle: Rounded Corners 1794">
                  <a:extLst>
                    <a:ext uri="{FF2B5EF4-FFF2-40B4-BE49-F238E27FC236}">
                      <a16:creationId xmlns:a16="http://schemas.microsoft.com/office/drawing/2014/main" id="{00000000-0008-0000-0200-00000307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6" name="Rectangle: Rounded Corners 1795">
                  <a:extLst>
                    <a:ext uri="{FF2B5EF4-FFF2-40B4-BE49-F238E27FC236}">
                      <a16:creationId xmlns:a16="http://schemas.microsoft.com/office/drawing/2014/main" id="{00000000-0008-0000-0200-00000407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7" name="Rectangle: Rounded Corners 1796">
                  <a:extLst>
                    <a:ext uri="{FF2B5EF4-FFF2-40B4-BE49-F238E27FC236}">
                      <a16:creationId xmlns:a16="http://schemas.microsoft.com/office/drawing/2014/main" id="{00000000-0008-0000-0200-00000507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8" name="Rectangle: Rounded Corners 1797">
                  <a:extLst>
                    <a:ext uri="{FF2B5EF4-FFF2-40B4-BE49-F238E27FC236}">
                      <a16:creationId xmlns:a16="http://schemas.microsoft.com/office/drawing/2014/main" id="{00000000-0008-0000-0200-00000607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788" name="Group 1787">
                <a:extLst>
                  <a:ext uri="{FF2B5EF4-FFF2-40B4-BE49-F238E27FC236}">
                    <a16:creationId xmlns:a16="http://schemas.microsoft.com/office/drawing/2014/main" id="{00000000-0008-0000-0200-0000FC060000}"/>
                  </a:ext>
                </a:extLst>
              </xdr:cNvPr>
              <xdr:cNvGrpSpPr/>
            </xdr:nvGrpSpPr>
            <xdr:grpSpPr>
              <a:xfrm>
                <a:off x="15001875" y="106064797"/>
                <a:ext cx="953589" cy="1109382"/>
                <a:chOff x="-11112" y="0"/>
                <a:chExt cx="1112519" cy="1371600"/>
              </a:xfrm>
            </xdr:grpSpPr>
            <xdr:sp macro="" textlink="">
              <xdr:nvSpPr>
                <xdr:cNvPr id="1789" name="Rectangle 1788">
                  <a:extLst>
                    <a:ext uri="{FF2B5EF4-FFF2-40B4-BE49-F238E27FC236}">
                      <a16:creationId xmlns:a16="http://schemas.microsoft.com/office/drawing/2014/main" id="{00000000-0008-0000-0200-0000FD06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790" name="Rectangle 1789">
                  <a:extLst>
                    <a:ext uri="{FF2B5EF4-FFF2-40B4-BE49-F238E27FC236}">
                      <a16:creationId xmlns:a16="http://schemas.microsoft.com/office/drawing/2014/main" id="{00000000-0008-0000-0200-0000FE06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791" name="Straight Connector 1790">
                  <a:extLst>
                    <a:ext uri="{FF2B5EF4-FFF2-40B4-BE49-F238E27FC236}">
                      <a16:creationId xmlns:a16="http://schemas.microsoft.com/office/drawing/2014/main" id="{00000000-0008-0000-0200-0000FF06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786" name="Thought Bubble: Cloud 1785">
              <a:extLst>
                <a:ext uri="{FF2B5EF4-FFF2-40B4-BE49-F238E27FC236}">
                  <a16:creationId xmlns:a16="http://schemas.microsoft.com/office/drawing/2014/main" id="{00000000-0008-0000-0200-0000FA060000}"/>
                </a:ext>
              </a:extLst>
            </xdr:cNvPr>
            <xdr:cNvSpPr/>
          </xdr:nvSpPr>
          <xdr:spPr>
            <a:xfrm>
              <a:off x="14921419"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4" name="Group 1613">
            <a:extLst>
              <a:ext uri="{FF2B5EF4-FFF2-40B4-BE49-F238E27FC236}">
                <a16:creationId xmlns:a16="http://schemas.microsoft.com/office/drawing/2014/main" id="{00000000-0008-0000-0200-00004E060000}"/>
              </a:ext>
            </a:extLst>
          </xdr:cNvPr>
          <xdr:cNvGrpSpPr>
            <a:grpSpLocks noChangeAspect="1"/>
          </xdr:cNvGrpSpPr>
        </xdr:nvGrpSpPr>
        <xdr:grpSpPr>
          <a:xfrm>
            <a:off x="1817843" y="107859616"/>
            <a:ext cx="753916" cy="1968592"/>
            <a:chOff x="13365162" y="104827427"/>
            <a:chExt cx="1308883" cy="3386095"/>
          </a:xfrm>
        </xdr:grpSpPr>
        <xdr:grpSp>
          <xdr:nvGrpSpPr>
            <xdr:cNvPr id="1680" name="Group 1679">
              <a:extLst>
                <a:ext uri="{FF2B5EF4-FFF2-40B4-BE49-F238E27FC236}">
                  <a16:creationId xmlns:a16="http://schemas.microsoft.com/office/drawing/2014/main" id="{00000000-0008-0000-0200-000090060000}"/>
                </a:ext>
              </a:extLst>
            </xdr:cNvPr>
            <xdr:cNvGrpSpPr/>
          </xdr:nvGrpSpPr>
          <xdr:grpSpPr>
            <a:xfrm>
              <a:off x="13620749" y="105470322"/>
              <a:ext cx="1053296" cy="2743200"/>
              <a:chOff x="13620749" y="105470322"/>
              <a:chExt cx="1053296" cy="2743200"/>
            </a:xfrm>
          </xdr:grpSpPr>
          <xdr:grpSp>
            <xdr:nvGrpSpPr>
              <xdr:cNvPr id="1682" name="Group 1681">
                <a:extLst>
                  <a:ext uri="{FF2B5EF4-FFF2-40B4-BE49-F238E27FC236}">
                    <a16:creationId xmlns:a16="http://schemas.microsoft.com/office/drawing/2014/main" id="{00000000-0008-0000-0200-000092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778" name="Rectangle: Rounded Corners 1777">
                  <a:extLst>
                    <a:ext uri="{FF2B5EF4-FFF2-40B4-BE49-F238E27FC236}">
                      <a16:creationId xmlns:a16="http://schemas.microsoft.com/office/drawing/2014/main" id="{00000000-0008-0000-0200-0000F206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79" name="Rectangle: Rounded Corners 1778">
                  <a:extLst>
                    <a:ext uri="{FF2B5EF4-FFF2-40B4-BE49-F238E27FC236}">
                      <a16:creationId xmlns:a16="http://schemas.microsoft.com/office/drawing/2014/main" id="{00000000-0008-0000-0200-0000F306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0" name="Rectangle: Rounded Corners 1779">
                  <a:extLst>
                    <a:ext uri="{FF2B5EF4-FFF2-40B4-BE49-F238E27FC236}">
                      <a16:creationId xmlns:a16="http://schemas.microsoft.com/office/drawing/2014/main" id="{00000000-0008-0000-0200-0000F406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1" name="Rectangle: Rounded Corners 1780">
                  <a:extLst>
                    <a:ext uri="{FF2B5EF4-FFF2-40B4-BE49-F238E27FC236}">
                      <a16:creationId xmlns:a16="http://schemas.microsoft.com/office/drawing/2014/main" id="{00000000-0008-0000-0200-0000F506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2" name="Rectangle: Rounded Corners 1781">
                  <a:extLst>
                    <a:ext uri="{FF2B5EF4-FFF2-40B4-BE49-F238E27FC236}">
                      <a16:creationId xmlns:a16="http://schemas.microsoft.com/office/drawing/2014/main" id="{00000000-0008-0000-0200-0000F606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3" name="Rectangle: Rounded Corners 1782">
                  <a:extLst>
                    <a:ext uri="{FF2B5EF4-FFF2-40B4-BE49-F238E27FC236}">
                      <a16:creationId xmlns:a16="http://schemas.microsoft.com/office/drawing/2014/main" id="{00000000-0008-0000-0200-0000F706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4" name="Rectangle: Rounded Corners 1783">
                  <a:extLst>
                    <a:ext uri="{FF2B5EF4-FFF2-40B4-BE49-F238E27FC236}">
                      <a16:creationId xmlns:a16="http://schemas.microsoft.com/office/drawing/2014/main" id="{00000000-0008-0000-0200-0000F806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83" name="Group 1682">
                <a:extLst>
                  <a:ext uri="{FF2B5EF4-FFF2-40B4-BE49-F238E27FC236}">
                    <a16:creationId xmlns:a16="http://schemas.microsoft.com/office/drawing/2014/main" id="{00000000-0008-0000-0200-000093060000}"/>
                  </a:ext>
                </a:extLst>
              </xdr:cNvPr>
              <xdr:cNvGrpSpPr/>
            </xdr:nvGrpSpPr>
            <xdr:grpSpPr>
              <a:xfrm>
                <a:off x="13679805" y="106093372"/>
                <a:ext cx="953589" cy="1109382"/>
                <a:chOff x="0" y="0"/>
                <a:chExt cx="1112520" cy="1371600"/>
              </a:xfrm>
            </xdr:grpSpPr>
            <xdr:sp macro="" textlink="">
              <xdr:nvSpPr>
                <xdr:cNvPr id="1684" name="Rectangle 1683">
                  <a:extLst>
                    <a:ext uri="{FF2B5EF4-FFF2-40B4-BE49-F238E27FC236}">
                      <a16:creationId xmlns:a16="http://schemas.microsoft.com/office/drawing/2014/main" id="{00000000-0008-0000-0200-00009406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85" name="Rectangle 1684">
                  <a:extLst>
                    <a:ext uri="{FF2B5EF4-FFF2-40B4-BE49-F238E27FC236}">
                      <a16:creationId xmlns:a16="http://schemas.microsoft.com/office/drawing/2014/main" id="{00000000-0008-0000-0200-00009506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777" name="Straight Connector 1776">
                  <a:extLst>
                    <a:ext uri="{FF2B5EF4-FFF2-40B4-BE49-F238E27FC236}">
                      <a16:creationId xmlns:a16="http://schemas.microsoft.com/office/drawing/2014/main" id="{00000000-0008-0000-0200-0000F106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81" name="Thought Bubble: Cloud 1680">
              <a:extLst>
                <a:ext uri="{FF2B5EF4-FFF2-40B4-BE49-F238E27FC236}">
                  <a16:creationId xmlns:a16="http://schemas.microsoft.com/office/drawing/2014/main" id="{00000000-0008-0000-0200-000091060000}"/>
                </a:ext>
              </a:extLst>
            </xdr:cNvPr>
            <xdr:cNvSpPr/>
          </xdr:nvSpPr>
          <xdr:spPr>
            <a:xfrm flipH="1">
              <a:off x="13365162" y="104827427"/>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5" name="Group 1614">
            <a:extLst>
              <a:ext uri="{FF2B5EF4-FFF2-40B4-BE49-F238E27FC236}">
                <a16:creationId xmlns:a16="http://schemas.microsoft.com/office/drawing/2014/main" id="{00000000-0008-0000-0200-00004F060000}"/>
              </a:ext>
            </a:extLst>
          </xdr:cNvPr>
          <xdr:cNvGrpSpPr>
            <a:grpSpLocks noChangeAspect="1"/>
          </xdr:cNvGrpSpPr>
        </xdr:nvGrpSpPr>
        <xdr:grpSpPr>
          <a:xfrm>
            <a:off x="295784" y="107882306"/>
            <a:ext cx="674825" cy="1999079"/>
            <a:chOff x="13527313" y="104774987"/>
            <a:chExt cx="1171575" cy="3438535"/>
          </a:xfrm>
        </xdr:grpSpPr>
        <xdr:grpSp>
          <xdr:nvGrpSpPr>
            <xdr:cNvPr id="1666" name="Group 1665">
              <a:extLst>
                <a:ext uri="{FF2B5EF4-FFF2-40B4-BE49-F238E27FC236}">
                  <a16:creationId xmlns:a16="http://schemas.microsoft.com/office/drawing/2014/main" id="{00000000-0008-0000-0200-000082060000}"/>
                </a:ext>
              </a:extLst>
            </xdr:cNvPr>
            <xdr:cNvGrpSpPr/>
          </xdr:nvGrpSpPr>
          <xdr:grpSpPr>
            <a:xfrm>
              <a:off x="13620749" y="105470322"/>
              <a:ext cx="1053296" cy="2743200"/>
              <a:chOff x="13620749" y="105470322"/>
              <a:chExt cx="1053296" cy="2743200"/>
            </a:xfrm>
          </xdr:grpSpPr>
          <xdr:grpSp>
            <xdr:nvGrpSpPr>
              <xdr:cNvPr id="1668" name="Group 1667">
                <a:extLst>
                  <a:ext uri="{FF2B5EF4-FFF2-40B4-BE49-F238E27FC236}">
                    <a16:creationId xmlns:a16="http://schemas.microsoft.com/office/drawing/2014/main" id="{00000000-0008-0000-0200-000084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673" name="Rectangle: Rounded Corners 1672">
                  <a:extLst>
                    <a:ext uri="{FF2B5EF4-FFF2-40B4-BE49-F238E27FC236}">
                      <a16:creationId xmlns:a16="http://schemas.microsoft.com/office/drawing/2014/main" id="{00000000-0008-0000-0200-00008906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4" name="Rectangle: Rounded Corners 1673">
                  <a:extLst>
                    <a:ext uri="{FF2B5EF4-FFF2-40B4-BE49-F238E27FC236}">
                      <a16:creationId xmlns:a16="http://schemas.microsoft.com/office/drawing/2014/main" id="{00000000-0008-0000-0200-00008A06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5" name="Rectangle: Rounded Corners 1674">
                  <a:extLst>
                    <a:ext uri="{FF2B5EF4-FFF2-40B4-BE49-F238E27FC236}">
                      <a16:creationId xmlns:a16="http://schemas.microsoft.com/office/drawing/2014/main" id="{00000000-0008-0000-0200-00008B06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6" name="Rectangle: Rounded Corners 1675">
                  <a:extLst>
                    <a:ext uri="{FF2B5EF4-FFF2-40B4-BE49-F238E27FC236}">
                      <a16:creationId xmlns:a16="http://schemas.microsoft.com/office/drawing/2014/main" id="{00000000-0008-0000-0200-00008C06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7" name="Rectangle: Rounded Corners 1676">
                  <a:extLst>
                    <a:ext uri="{FF2B5EF4-FFF2-40B4-BE49-F238E27FC236}">
                      <a16:creationId xmlns:a16="http://schemas.microsoft.com/office/drawing/2014/main" id="{00000000-0008-0000-0200-00008D06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8" name="Rectangle: Rounded Corners 1677">
                  <a:extLst>
                    <a:ext uri="{FF2B5EF4-FFF2-40B4-BE49-F238E27FC236}">
                      <a16:creationId xmlns:a16="http://schemas.microsoft.com/office/drawing/2014/main" id="{00000000-0008-0000-0200-00008E06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9" name="Rectangle: Rounded Corners 1678">
                  <a:extLst>
                    <a:ext uri="{FF2B5EF4-FFF2-40B4-BE49-F238E27FC236}">
                      <a16:creationId xmlns:a16="http://schemas.microsoft.com/office/drawing/2014/main" id="{00000000-0008-0000-0200-00008F06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69" name="Group 1668">
                <a:extLst>
                  <a:ext uri="{FF2B5EF4-FFF2-40B4-BE49-F238E27FC236}">
                    <a16:creationId xmlns:a16="http://schemas.microsoft.com/office/drawing/2014/main" id="{00000000-0008-0000-0200-000085060000}"/>
                  </a:ext>
                </a:extLst>
              </xdr:cNvPr>
              <xdr:cNvGrpSpPr/>
            </xdr:nvGrpSpPr>
            <xdr:grpSpPr>
              <a:xfrm>
                <a:off x="13679805" y="106093372"/>
                <a:ext cx="953589" cy="1109382"/>
                <a:chOff x="0" y="0"/>
                <a:chExt cx="1112520" cy="1371600"/>
              </a:xfrm>
            </xdr:grpSpPr>
            <xdr:sp macro="" textlink="">
              <xdr:nvSpPr>
                <xdr:cNvPr id="1670" name="Rectangle 1669">
                  <a:extLst>
                    <a:ext uri="{FF2B5EF4-FFF2-40B4-BE49-F238E27FC236}">
                      <a16:creationId xmlns:a16="http://schemas.microsoft.com/office/drawing/2014/main" id="{00000000-0008-0000-0200-00008606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71" name="Rectangle 1670">
                  <a:extLst>
                    <a:ext uri="{FF2B5EF4-FFF2-40B4-BE49-F238E27FC236}">
                      <a16:creationId xmlns:a16="http://schemas.microsoft.com/office/drawing/2014/main" id="{00000000-0008-0000-0200-00008706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72" name="Straight Connector 1671">
                  <a:extLst>
                    <a:ext uri="{FF2B5EF4-FFF2-40B4-BE49-F238E27FC236}">
                      <a16:creationId xmlns:a16="http://schemas.microsoft.com/office/drawing/2014/main" id="{00000000-0008-0000-0200-00008806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67" name="Thought Bubble: Cloud 1666">
              <a:extLst>
                <a:ext uri="{FF2B5EF4-FFF2-40B4-BE49-F238E27FC236}">
                  <a16:creationId xmlns:a16="http://schemas.microsoft.com/office/drawing/2014/main" id="{00000000-0008-0000-0200-000083060000}"/>
                </a:ext>
              </a:extLst>
            </xdr:cNvPr>
            <xdr:cNvSpPr/>
          </xdr:nvSpPr>
          <xdr:spPr>
            <a:xfrm flipH="1">
              <a:off x="13527313" y="104774987"/>
              <a:ext cx="1171575"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6" name="Group 1615">
            <a:extLst>
              <a:ext uri="{FF2B5EF4-FFF2-40B4-BE49-F238E27FC236}">
                <a16:creationId xmlns:a16="http://schemas.microsoft.com/office/drawing/2014/main" id="{00000000-0008-0000-0200-000050060000}"/>
              </a:ext>
            </a:extLst>
          </xdr:cNvPr>
          <xdr:cNvGrpSpPr>
            <a:grpSpLocks noChangeAspect="1"/>
          </xdr:cNvGrpSpPr>
        </xdr:nvGrpSpPr>
        <xdr:grpSpPr>
          <a:xfrm>
            <a:off x="1037033" y="107867116"/>
            <a:ext cx="719366" cy="1999072"/>
            <a:chOff x="13425142" y="104774999"/>
            <a:chExt cx="1248903" cy="3438523"/>
          </a:xfrm>
        </xdr:grpSpPr>
        <xdr:grpSp>
          <xdr:nvGrpSpPr>
            <xdr:cNvPr id="1635" name="Group 1634">
              <a:extLst>
                <a:ext uri="{FF2B5EF4-FFF2-40B4-BE49-F238E27FC236}">
                  <a16:creationId xmlns:a16="http://schemas.microsoft.com/office/drawing/2014/main" id="{00000000-0008-0000-0200-000063060000}"/>
                </a:ext>
              </a:extLst>
            </xdr:cNvPr>
            <xdr:cNvGrpSpPr/>
          </xdr:nvGrpSpPr>
          <xdr:grpSpPr>
            <a:xfrm>
              <a:off x="13620749" y="105470322"/>
              <a:ext cx="1053296" cy="2743200"/>
              <a:chOff x="13620749" y="105470322"/>
              <a:chExt cx="1053296" cy="2743200"/>
            </a:xfrm>
          </xdr:grpSpPr>
          <xdr:grpSp>
            <xdr:nvGrpSpPr>
              <xdr:cNvPr id="1637" name="Group 1636">
                <a:extLst>
                  <a:ext uri="{FF2B5EF4-FFF2-40B4-BE49-F238E27FC236}">
                    <a16:creationId xmlns:a16="http://schemas.microsoft.com/office/drawing/2014/main" id="{00000000-0008-0000-0200-000065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659" name="Rectangle: Rounded Corners 1658">
                  <a:extLst>
                    <a:ext uri="{FF2B5EF4-FFF2-40B4-BE49-F238E27FC236}">
                      <a16:creationId xmlns:a16="http://schemas.microsoft.com/office/drawing/2014/main" id="{00000000-0008-0000-0200-00007B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0" name="Rectangle: Rounded Corners 1659">
                  <a:extLst>
                    <a:ext uri="{FF2B5EF4-FFF2-40B4-BE49-F238E27FC236}">
                      <a16:creationId xmlns:a16="http://schemas.microsoft.com/office/drawing/2014/main" id="{00000000-0008-0000-0200-00007C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1" name="Rectangle: Rounded Corners 1660">
                  <a:extLst>
                    <a:ext uri="{FF2B5EF4-FFF2-40B4-BE49-F238E27FC236}">
                      <a16:creationId xmlns:a16="http://schemas.microsoft.com/office/drawing/2014/main" id="{00000000-0008-0000-0200-00007D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2" name="Rectangle: Rounded Corners 1661">
                  <a:extLst>
                    <a:ext uri="{FF2B5EF4-FFF2-40B4-BE49-F238E27FC236}">
                      <a16:creationId xmlns:a16="http://schemas.microsoft.com/office/drawing/2014/main" id="{00000000-0008-0000-0200-00007E06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3" name="Rectangle: Rounded Corners 1662">
                  <a:extLst>
                    <a:ext uri="{FF2B5EF4-FFF2-40B4-BE49-F238E27FC236}">
                      <a16:creationId xmlns:a16="http://schemas.microsoft.com/office/drawing/2014/main" id="{00000000-0008-0000-0200-00007F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4" name="Rectangle: Rounded Corners 1663">
                  <a:extLst>
                    <a:ext uri="{FF2B5EF4-FFF2-40B4-BE49-F238E27FC236}">
                      <a16:creationId xmlns:a16="http://schemas.microsoft.com/office/drawing/2014/main" id="{00000000-0008-0000-0200-000080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5" name="Rectangle: Rounded Corners 1664">
                  <a:extLst>
                    <a:ext uri="{FF2B5EF4-FFF2-40B4-BE49-F238E27FC236}">
                      <a16:creationId xmlns:a16="http://schemas.microsoft.com/office/drawing/2014/main" id="{00000000-0008-0000-0200-000081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38" name="Group 1637">
                <a:extLst>
                  <a:ext uri="{FF2B5EF4-FFF2-40B4-BE49-F238E27FC236}">
                    <a16:creationId xmlns:a16="http://schemas.microsoft.com/office/drawing/2014/main" id="{00000000-0008-0000-0200-000066060000}"/>
                  </a:ext>
                </a:extLst>
              </xdr:cNvPr>
              <xdr:cNvGrpSpPr/>
            </xdr:nvGrpSpPr>
            <xdr:grpSpPr>
              <a:xfrm>
                <a:off x="13679805" y="106093372"/>
                <a:ext cx="953589" cy="1109382"/>
                <a:chOff x="0" y="0"/>
                <a:chExt cx="1112520" cy="1371600"/>
              </a:xfrm>
            </xdr:grpSpPr>
            <xdr:sp macro="" textlink="">
              <xdr:nvSpPr>
                <xdr:cNvPr id="1656" name="Rectangle 1655">
                  <a:extLst>
                    <a:ext uri="{FF2B5EF4-FFF2-40B4-BE49-F238E27FC236}">
                      <a16:creationId xmlns:a16="http://schemas.microsoft.com/office/drawing/2014/main" id="{00000000-0008-0000-0200-00007806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57" name="Rectangle 1656">
                  <a:extLst>
                    <a:ext uri="{FF2B5EF4-FFF2-40B4-BE49-F238E27FC236}">
                      <a16:creationId xmlns:a16="http://schemas.microsoft.com/office/drawing/2014/main" id="{00000000-0008-0000-0200-00007906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58" name="Straight Connector 1657">
                  <a:extLst>
                    <a:ext uri="{FF2B5EF4-FFF2-40B4-BE49-F238E27FC236}">
                      <a16:creationId xmlns:a16="http://schemas.microsoft.com/office/drawing/2014/main" id="{00000000-0008-0000-0200-00007A06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36" name="Thought Bubble: Cloud 1635">
              <a:extLst>
                <a:ext uri="{FF2B5EF4-FFF2-40B4-BE49-F238E27FC236}">
                  <a16:creationId xmlns:a16="http://schemas.microsoft.com/office/drawing/2014/main" id="{00000000-0008-0000-0200-000064060000}"/>
                </a:ext>
              </a:extLst>
            </xdr:cNvPr>
            <xdr:cNvSpPr/>
          </xdr:nvSpPr>
          <xdr:spPr>
            <a:xfrm flipH="1">
              <a:off x="13425142" y="104774999"/>
              <a:ext cx="1171577"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7" name="Group 1616">
            <a:extLst>
              <a:ext uri="{FF2B5EF4-FFF2-40B4-BE49-F238E27FC236}">
                <a16:creationId xmlns:a16="http://schemas.microsoft.com/office/drawing/2014/main" id="{00000000-0008-0000-0200-000051060000}"/>
              </a:ext>
            </a:extLst>
          </xdr:cNvPr>
          <xdr:cNvGrpSpPr>
            <a:grpSpLocks noChangeAspect="1"/>
          </xdr:cNvGrpSpPr>
        </xdr:nvGrpSpPr>
        <xdr:grpSpPr>
          <a:xfrm>
            <a:off x="4449782" y="107882313"/>
            <a:ext cx="733342" cy="1982459"/>
            <a:chOff x="14944724" y="104774999"/>
            <a:chExt cx="1273165" cy="3409948"/>
          </a:xfrm>
        </xdr:grpSpPr>
        <xdr:grpSp>
          <xdr:nvGrpSpPr>
            <xdr:cNvPr id="1618" name="Group 1617">
              <a:extLst>
                <a:ext uri="{FF2B5EF4-FFF2-40B4-BE49-F238E27FC236}">
                  <a16:creationId xmlns:a16="http://schemas.microsoft.com/office/drawing/2014/main" id="{00000000-0008-0000-0200-000052060000}"/>
                </a:ext>
              </a:extLst>
            </xdr:cNvPr>
            <xdr:cNvGrpSpPr/>
          </xdr:nvGrpSpPr>
          <xdr:grpSpPr>
            <a:xfrm>
              <a:off x="14944724" y="105441747"/>
              <a:ext cx="1053296" cy="2743200"/>
              <a:chOff x="14944724" y="105441747"/>
              <a:chExt cx="1053296" cy="2743200"/>
            </a:xfrm>
          </xdr:grpSpPr>
          <xdr:grpSp>
            <xdr:nvGrpSpPr>
              <xdr:cNvPr id="1620" name="Group 1619">
                <a:extLst>
                  <a:ext uri="{FF2B5EF4-FFF2-40B4-BE49-F238E27FC236}">
                    <a16:creationId xmlns:a16="http://schemas.microsoft.com/office/drawing/2014/main" id="{00000000-0008-0000-0200-00005406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625" name="Rectangle: Rounded Corners 1624">
                  <a:extLst>
                    <a:ext uri="{FF2B5EF4-FFF2-40B4-BE49-F238E27FC236}">
                      <a16:creationId xmlns:a16="http://schemas.microsoft.com/office/drawing/2014/main" id="{00000000-0008-0000-0200-000059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6" name="Rectangle: Rounded Corners 1625">
                  <a:extLst>
                    <a:ext uri="{FF2B5EF4-FFF2-40B4-BE49-F238E27FC236}">
                      <a16:creationId xmlns:a16="http://schemas.microsoft.com/office/drawing/2014/main" id="{00000000-0008-0000-0200-00005A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7" name="Rectangle: Rounded Corners 1626">
                  <a:extLst>
                    <a:ext uri="{FF2B5EF4-FFF2-40B4-BE49-F238E27FC236}">
                      <a16:creationId xmlns:a16="http://schemas.microsoft.com/office/drawing/2014/main" id="{00000000-0008-0000-0200-00005B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8" name="Rectangle: Rounded Corners 1627">
                  <a:extLst>
                    <a:ext uri="{FF2B5EF4-FFF2-40B4-BE49-F238E27FC236}">
                      <a16:creationId xmlns:a16="http://schemas.microsoft.com/office/drawing/2014/main" id="{00000000-0008-0000-0200-00005C06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9" name="Rectangle: Rounded Corners 1628">
                  <a:extLst>
                    <a:ext uri="{FF2B5EF4-FFF2-40B4-BE49-F238E27FC236}">
                      <a16:creationId xmlns:a16="http://schemas.microsoft.com/office/drawing/2014/main" id="{00000000-0008-0000-0200-00005D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30" name="Rectangle: Rounded Corners 1629">
                  <a:extLst>
                    <a:ext uri="{FF2B5EF4-FFF2-40B4-BE49-F238E27FC236}">
                      <a16:creationId xmlns:a16="http://schemas.microsoft.com/office/drawing/2014/main" id="{00000000-0008-0000-0200-00005E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34" name="Rectangle: Rounded Corners 1633">
                  <a:extLst>
                    <a:ext uri="{FF2B5EF4-FFF2-40B4-BE49-F238E27FC236}">
                      <a16:creationId xmlns:a16="http://schemas.microsoft.com/office/drawing/2014/main" id="{00000000-0008-0000-0200-000062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21" name="Group 1620">
                <a:extLst>
                  <a:ext uri="{FF2B5EF4-FFF2-40B4-BE49-F238E27FC236}">
                    <a16:creationId xmlns:a16="http://schemas.microsoft.com/office/drawing/2014/main" id="{00000000-0008-0000-0200-000055060000}"/>
                  </a:ext>
                </a:extLst>
              </xdr:cNvPr>
              <xdr:cNvGrpSpPr/>
            </xdr:nvGrpSpPr>
            <xdr:grpSpPr>
              <a:xfrm>
                <a:off x="15001875" y="106064797"/>
                <a:ext cx="953589" cy="1109382"/>
                <a:chOff x="-11112" y="0"/>
                <a:chExt cx="1112519" cy="1371600"/>
              </a:xfrm>
            </xdr:grpSpPr>
            <xdr:sp macro="" textlink="">
              <xdr:nvSpPr>
                <xdr:cNvPr id="1622" name="Rectangle 1621">
                  <a:extLst>
                    <a:ext uri="{FF2B5EF4-FFF2-40B4-BE49-F238E27FC236}">
                      <a16:creationId xmlns:a16="http://schemas.microsoft.com/office/drawing/2014/main" id="{00000000-0008-0000-0200-00005606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23" name="Rectangle 1622">
                  <a:extLst>
                    <a:ext uri="{FF2B5EF4-FFF2-40B4-BE49-F238E27FC236}">
                      <a16:creationId xmlns:a16="http://schemas.microsoft.com/office/drawing/2014/main" id="{00000000-0008-0000-0200-00005706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24" name="Straight Connector 1623">
                  <a:extLst>
                    <a:ext uri="{FF2B5EF4-FFF2-40B4-BE49-F238E27FC236}">
                      <a16:creationId xmlns:a16="http://schemas.microsoft.com/office/drawing/2014/main" id="{00000000-0008-0000-0200-00005806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19" name="Thought Bubble: Cloud 1618">
              <a:extLst>
                <a:ext uri="{FF2B5EF4-FFF2-40B4-BE49-F238E27FC236}">
                  <a16:creationId xmlns:a16="http://schemas.microsoft.com/office/drawing/2014/main" id="{00000000-0008-0000-0200-00005306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0</xdr:col>
      <xdr:colOff>106680</xdr:colOff>
      <xdr:row>544</xdr:row>
      <xdr:rowOff>83820</xdr:rowOff>
    </xdr:from>
    <xdr:to>
      <xdr:col>13</xdr:col>
      <xdr:colOff>30480</xdr:colOff>
      <xdr:row>548</xdr:row>
      <xdr:rowOff>22860</xdr:rowOff>
    </xdr:to>
    <xdr:sp macro="" textlink="">
      <xdr:nvSpPr>
        <xdr:cNvPr id="2277" name="psychosocial reduction">
          <a:extLst>
            <a:ext uri="{FF2B5EF4-FFF2-40B4-BE49-F238E27FC236}">
              <a16:creationId xmlns:a16="http://schemas.microsoft.com/office/drawing/2014/main" id="{00000000-0008-0000-0200-0000E5080000}"/>
            </a:ext>
          </a:extLst>
        </xdr:cNvPr>
        <xdr:cNvSpPr txBox="1"/>
      </xdr:nvSpPr>
      <xdr:spPr>
        <a:xfrm>
          <a:off x="106680" y="99982020"/>
          <a:ext cx="5989320" cy="640080"/>
        </a:xfrm>
        <a:prstGeom prst="rect">
          <a:avLst/>
        </a:prstGeom>
        <a:solidFill>
          <a:srgbClr val="3C1E5A"/>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18288"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Are you in so much </a:t>
          </a:r>
          <a:r>
            <a:rPr lang="en-US" sz="1200" spc="1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that you can't relate to the </a:t>
          </a:r>
          <a:r>
            <a:rPr lang="en-US" sz="1200" spc="1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in others different from you</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The </a:t>
          </a:r>
          <a:r>
            <a:rPr lang="en-US" sz="1200" b="1"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more</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you oppose another's need, the </a:t>
          </a:r>
          <a:r>
            <a:rPr lang="en-US" sz="1200" b="1"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more</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a:t>
          </a:r>
          <a:r>
            <a:rPr lang="en-US" sz="120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you perpetuate. Theirs and your own. The other side is </a:t>
          </a:r>
          <a:r>
            <a:rPr lang="en-US" sz="1200"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not</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the enemy. Unresolved needs are your true foe.</a:t>
          </a:r>
          <a:endParaRPr lang="en-US" sz="14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53340</xdr:colOff>
      <xdr:row>507</xdr:row>
      <xdr:rowOff>89498</xdr:rowOff>
    </xdr:from>
    <xdr:to>
      <xdr:col>13</xdr:col>
      <xdr:colOff>7620</xdr:colOff>
      <xdr:row>544</xdr:row>
      <xdr:rowOff>5678</xdr:rowOff>
    </xdr:to>
    <xdr:sp macro="" textlink="">
      <xdr:nvSpPr>
        <xdr:cNvPr id="2294" name="TextBox 2293">
          <a:extLst>
            <a:ext uri="{FF2B5EF4-FFF2-40B4-BE49-F238E27FC236}">
              <a16:creationId xmlns:a16="http://schemas.microsoft.com/office/drawing/2014/main" id="{00000000-0008-0000-0200-0000F6080000}"/>
            </a:ext>
          </a:extLst>
        </xdr:cNvPr>
        <xdr:cNvSpPr txBox="1"/>
      </xdr:nvSpPr>
      <xdr:spPr>
        <a:xfrm>
          <a:off x="3147060" y="102067958"/>
          <a:ext cx="2926080" cy="6400800"/>
        </a:xfrm>
        <a:prstGeom prst="rect">
          <a:avLst/>
        </a:prstGeom>
        <a:solidFill>
          <a:srgbClr val="FFFF00">
            <a:alpha val="67000"/>
          </a:srgbClr>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a:spcAft>
              <a:spcPts val="600"/>
            </a:spcAft>
          </a:pPr>
          <a:r>
            <a:rPr lang="en-US" sz="1400" b="1" baseline="0">
              <a:latin typeface="Tahoma" panose="020B0604030504040204" pitchFamily="34" charset="0"/>
              <a:ea typeface="Tahoma" panose="020B0604030504040204" pitchFamily="34" charset="0"/>
              <a:cs typeface="Tahoma" panose="020B0604030504040204" pitchFamily="34" charset="0"/>
            </a:rPr>
            <a:t>IF </a:t>
          </a:r>
          <a:r>
            <a:rPr lang="en-US" sz="1400" b="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DEEP-ORIENTED</a:t>
          </a:r>
          <a:r>
            <a:rPr lang="en-US" sz="1400" b="1" baseline="0">
              <a:latin typeface="Tahoma" panose="020B0604030504040204" pitchFamily="34" charset="0"/>
              <a:ea typeface="Tahoma" panose="020B0604030504040204" pitchFamily="34" charset="0"/>
              <a:cs typeface="Tahoma" panose="020B0604030504040204" pitchFamily="34" charset="0"/>
            </a:rPr>
            <a:t> ON THE POLITICAL </a:t>
          </a:r>
          <a:r>
            <a:rPr lang="en-US" sz="1400" b="1" i="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RIGHT</a:t>
          </a:r>
          <a:r>
            <a:rPr lang="en-US" sz="1400" b="1" baseline="0">
              <a:latin typeface="Tahoma" panose="020B0604030504040204" pitchFamily="34" charset="0"/>
              <a:ea typeface="Tahoma" panose="020B0604030504040204" pitchFamily="34" charset="0"/>
              <a:cs typeface="Tahoma" panose="020B0604030504040204" pitchFamily="34" charset="0"/>
            </a:rPr>
            <a:t>, LISTEN TO THE </a:t>
          </a:r>
          <a:r>
            <a:rPr lang="en-US" sz="1400" b="1" spc="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WIDE-ORIENTED</a:t>
          </a:r>
        </a:p>
        <a:p>
          <a:pPr lvl="0">
            <a:spcBef>
              <a:spcPts val="900"/>
            </a:spcBef>
            <a:spcAft>
              <a:spcPts val="900"/>
            </a:spcAft>
          </a:pPr>
          <a:r>
            <a:rPr lang="en-US" sz="1200" baseline="0">
              <a:latin typeface="Arial Black" panose="020B0A04020102020204" pitchFamily="34" charset="0"/>
              <a:ea typeface="Tahoma" panose="020B0604030504040204" pitchFamily="34" charset="0"/>
              <a:cs typeface="Tahoma" panose="020B0604030504040204" pitchFamily="34" charset="0"/>
            </a:rPr>
            <a:t>Can you feel their </a:t>
          </a:r>
          <a:r>
            <a:rPr lang="en-US" sz="1200" baseline="0">
              <a:ln>
                <a:solidFill>
                  <a:srgbClr val="FFFF00"/>
                </a:solidFill>
              </a:ln>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200" baseline="0">
              <a:latin typeface="Arial Black" panose="020B0A04020102020204" pitchFamily="34" charset="0"/>
              <a:ea typeface="Tahoma" panose="020B0604030504040204" pitchFamily="34" charset="0"/>
              <a:cs typeface="Tahoma" panose="020B0604030504040204" pitchFamily="34" charset="0"/>
            </a:rPr>
            <a:t> without insisting they feel yours first?</a:t>
          </a:r>
        </a:p>
        <a:p>
          <a:pPr>
            <a:spcBef>
              <a:spcPts val="0"/>
            </a:spcBef>
            <a:spcAft>
              <a:spcPts val="1200"/>
            </a:spcAft>
          </a:pPr>
          <a:r>
            <a:rPr lang="en-US" sz="1400" baseline="0">
              <a:latin typeface="Tahoma" panose="020B0604030504040204" pitchFamily="34" charset="0"/>
              <a:ea typeface="Tahoma" panose="020B0604030504040204" pitchFamily="34" charset="0"/>
              <a:cs typeface="Tahoma" panose="020B0604030504040204" pitchFamily="34" charset="0"/>
            </a:rPr>
            <a:t>Their complaint of </a:t>
          </a:r>
          <a:r>
            <a:rPr lang="en-US" sz="14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systemic</a:t>
          </a:r>
          <a:r>
            <a:rPr lang="en-US" sz="1400" baseline="0">
              <a:latin typeface="Tahoma" panose="020B0604030504040204" pitchFamily="34" charset="0"/>
              <a:ea typeface="Tahoma" panose="020B0604030504040204" pitchFamily="34" charset="0"/>
              <a:cs typeface="Tahoma" panose="020B0604030504040204" pitchFamily="34" charset="0"/>
            </a:rPr>
            <a:t> </a:t>
          </a:r>
          <a:r>
            <a:rPr lang="en-US" sz="1400" b="1" baseline="0">
              <a:solidFill>
                <a:srgbClr val="0070C0"/>
              </a:solidFill>
              <a:latin typeface="Tahoma" panose="020B0604030504040204" pitchFamily="34" charset="0"/>
              <a:ea typeface="Tahoma" panose="020B0604030504040204" pitchFamily="34" charset="0"/>
              <a:cs typeface="Tahoma" panose="020B0604030504040204" pitchFamily="34" charset="0"/>
            </a:rPr>
            <a:t>oppression</a:t>
          </a:r>
          <a:r>
            <a:rPr lang="en-US" sz="1400" baseline="0">
              <a:latin typeface="Tahoma" panose="020B0604030504040204" pitchFamily="34" charset="0"/>
              <a:ea typeface="Tahoma" panose="020B0604030504040204" pitchFamily="34" charset="0"/>
              <a:cs typeface="Tahoma" panose="020B0604030504040204" pitchFamily="34" charset="0"/>
            </a:rPr>
            <a:t> is painfully real. </a:t>
          </a:r>
        </a:p>
        <a:p>
          <a:r>
            <a:rPr lang="en-US" sz="1100" baseline="0">
              <a:latin typeface="Tahoma" panose="020B0604030504040204" pitchFamily="34" charset="0"/>
              <a:ea typeface="Tahoma" panose="020B0604030504040204" pitchFamily="34" charset="0"/>
              <a:cs typeface="Tahoma" panose="020B0604030504040204" pitchFamily="34" charset="0"/>
            </a:rPr>
            <a:t>They struggle to warn you of </a:t>
          </a:r>
          <a:r>
            <a:rPr lang="en-US" sz="11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recurring</a:t>
          </a:r>
          <a:r>
            <a:rPr lang="en-US" sz="110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 </a:t>
          </a:r>
          <a:r>
            <a:rPr lang="en-US" sz="11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trauma</a:t>
          </a:r>
          <a:r>
            <a:rPr lang="en-US" sz="1100" baseline="0">
              <a:latin typeface="Tahoma" panose="020B0604030504040204" pitchFamily="34" charset="0"/>
              <a:ea typeface="Tahoma" panose="020B0604030504040204" pitchFamily="34" charset="0"/>
              <a:cs typeface="Tahoma" panose="020B0604030504040204" pitchFamily="34" charset="0"/>
            </a:rPr>
            <a:t> they endure from violent forms of recurring social exclusion for being different, disadvantaged, dejected. </a:t>
          </a:r>
        </a:p>
        <a:p>
          <a:r>
            <a:rPr lang="en-US" sz="1100" baseline="0">
              <a:solidFill>
                <a:schemeClr val="dk1"/>
              </a:solidFill>
              <a:effectLst>
                <a:glow rad="38100">
                  <a:srgbClr val="00B050"/>
                </a:glow>
              </a:effectLst>
              <a:latin typeface="Tahoma" panose="020B0604030504040204" pitchFamily="34" charset="0"/>
              <a:ea typeface="Tahoma" panose="020B0604030504040204" pitchFamily="34" charset="0"/>
              <a:cs typeface="Tahoma" panose="020B0604030504040204" pitchFamily="34" charset="0"/>
            </a:rPr>
            <a:t>They invite you to be part of the solution, </a:t>
          </a:r>
          <a:r>
            <a:rPr lang="en-US" sz="1100" baseline="0">
              <a:solidFill>
                <a:schemeClr val="dk1"/>
              </a:solidFill>
              <a:effectLst>
                <a:glow rad="38100">
                  <a:srgbClr val="FFFF00"/>
                </a:glow>
              </a:effectLst>
              <a:latin typeface="Tahoma" panose="020B0604030504040204" pitchFamily="34" charset="0"/>
              <a:ea typeface="Tahoma" panose="020B0604030504040204" pitchFamily="34" charset="0"/>
              <a:cs typeface="Tahoma" panose="020B0604030504040204" pitchFamily="34" charset="0"/>
            </a:rPr>
            <a:t>and not complicit with the problem</a:t>
          </a:r>
          <a:r>
            <a:rPr lang="en-US" sz="1100" baseline="0">
              <a:latin typeface="Tahoma" panose="020B0604030504040204" pitchFamily="34" charset="0"/>
              <a:ea typeface="Tahoma" panose="020B0604030504040204" pitchFamily="34" charset="0"/>
              <a:cs typeface="Tahoma" panose="020B0604030504040204" pitchFamily="34" charset="0"/>
            </a:rPr>
            <a:t>.</a:t>
          </a:r>
        </a:p>
        <a:p>
          <a:endParaRPr lang="en-US" sz="1200" baseline="0">
            <a:latin typeface="Tahoma" panose="020B0604030504040204" pitchFamily="34" charset="0"/>
            <a:ea typeface="Tahoma" panose="020B0604030504040204" pitchFamily="34" charset="0"/>
            <a:cs typeface="Tahoma" panose="020B0604030504040204" pitchFamily="34" charset="0"/>
          </a:endParaRPr>
        </a:p>
        <a:p>
          <a:r>
            <a:rPr lang="en-US" sz="1800" baseline="0">
              <a:latin typeface="Tahoma" panose="020B0604030504040204" pitchFamily="34" charset="0"/>
              <a:ea typeface="Tahoma" panose="020B0604030504040204" pitchFamily="34" charset="0"/>
              <a:cs typeface="Tahoma" panose="020B0604030504040204" pitchFamily="34" charset="0"/>
            </a:rPr>
            <a:t>They must </a:t>
          </a:r>
          <a:r>
            <a:rPr lang="en-US" sz="1800" b="1" baseline="0">
              <a:solidFill>
                <a:srgbClr val="0070C0"/>
              </a:solidFill>
              <a:latin typeface="Tahoma" panose="020B0604030504040204" pitchFamily="34" charset="0"/>
              <a:ea typeface="Tahoma" panose="020B0604030504040204" pitchFamily="34" charset="0"/>
              <a:cs typeface="Tahoma" panose="020B0604030504040204" pitchFamily="34" charset="0"/>
            </a:rPr>
            <a:t>relieve</a:t>
          </a:r>
          <a:r>
            <a:rPr lang="en-US" sz="1800" baseline="0">
              <a:latin typeface="Tahoma" panose="020B0604030504040204" pitchFamily="34" charset="0"/>
              <a:ea typeface="Tahoma" panose="020B0604030504040204" pitchFamily="34" charset="0"/>
              <a:cs typeface="Tahoma" panose="020B0604030504040204" pitchFamily="34" charset="0"/>
            </a:rPr>
            <a:t> their</a:t>
          </a:r>
          <a:r>
            <a:rPr lang="en-US" sz="1600" baseline="0">
              <a:latin typeface="Tahoma" panose="020B0604030504040204" pitchFamily="34" charset="0"/>
              <a:ea typeface="Tahoma" panose="020B0604030504040204" pitchFamily="34" charset="0"/>
              <a:cs typeface="Tahoma" panose="020B0604030504040204" pitchFamily="34" charset="0"/>
            </a:rPr>
            <a:t> </a:t>
          </a:r>
          <a:r>
            <a:rPr lang="en-US" sz="1600" i="1" baseline="0">
              <a:latin typeface="Tahoma" panose="020B0604030504040204" pitchFamily="34" charset="0"/>
              <a:ea typeface="Tahoma" panose="020B0604030504040204" pitchFamily="34" charset="0"/>
              <a:cs typeface="Tahoma" panose="020B0604030504040204" pitchFamily="34" charset="0"/>
            </a:rPr>
            <a:t>less</a:t>
          </a:r>
          <a:r>
            <a:rPr lang="en-US" sz="1600" baseline="0">
              <a:latin typeface="Tahoma" panose="020B0604030504040204" pitchFamily="34" charset="0"/>
              <a:ea typeface="Tahoma" panose="020B0604030504040204" pitchFamily="34" charset="0"/>
              <a:cs typeface="Tahoma" panose="020B0604030504040204" pitchFamily="34" charset="0"/>
            </a:rPr>
            <a:t> resolved social-needs.</a:t>
          </a:r>
        </a:p>
        <a:p>
          <a:pPr>
            <a:spcBef>
              <a:spcPts val="600"/>
            </a:spcBef>
            <a:spcAft>
              <a:spcPts val="600"/>
            </a:spcAft>
          </a:pPr>
          <a:r>
            <a:rPr lang="en-US" sz="1100" baseline="0">
              <a:solidFill>
                <a:srgbClr val="0070C0"/>
              </a:solidFill>
              <a:latin typeface="Tahoma" panose="020B0604030504040204" pitchFamily="34" charset="0"/>
              <a:ea typeface="Tahoma" panose="020B0604030504040204" pitchFamily="34" charset="0"/>
              <a:cs typeface="Tahoma" panose="020B0604030504040204" pitchFamily="34" charset="0"/>
            </a:rPr>
            <a:t>They must struggle for equality, they must seek social programs, they must count on government to intercede for the vulnerable, they must push back against historical discrimination with identity politics using tools like intersectionality, multiculturalism and microagressions. </a:t>
          </a:r>
        </a:p>
        <a:p>
          <a:r>
            <a:rPr lang="en-US" sz="1300" spc="-50" baseline="0">
              <a:latin typeface="Tahoma" panose="020B0604030504040204" pitchFamily="34" charset="0"/>
              <a:ea typeface="Tahoma" panose="020B0604030504040204" pitchFamily="34" charset="0"/>
              <a:cs typeface="Tahoma" panose="020B0604030504040204" pitchFamily="34" charset="0"/>
            </a:rPr>
            <a:t>They must because their lives count on these to </a:t>
          </a:r>
          <a:r>
            <a:rPr lang="en-US" sz="1300" b="1" spc="-50" baseline="0">
              <a:solidFill>
                <a:srgbClr val="0070C0"/>
              </a:solidFill>
              <a:latin typeface="Tahoma" panose="020B0604030504040204" pitchFamily="34" charset="0"/>
              <a:ea typeface="Tahoma" panose="020B0604030504040204" pitchFamily="34" charset="0"/>
              <a:cs typeface="Tahoma" panose="020B0604030504040204" pitchFamily="34" charset="0"/>
            </a:rPr>
            <a:t>relieve</a:t>
          </a:r>
          <a:r>
            <a:rPr lang="en-US" sz="1300" spc="-50" baseline="0">
              <a:latin typeface="Tahoma" panose="020B0604030504040204" pitchFamily="34" charset="0"/>
              <a:ea typeface="Tahoma" panose="020B0604030504040204" pitchFamily="34" charset="0"/>
              <a:cs typeface="Tahoma" panose="020B0604030504040204" pitchFamily="34" charset="0"/>
            </a:rPr>
            <a:t> their painfully impacted social-needs. How this painfully impacts you is a separate matter, covered below.</a:t>
          </a:r>
        </a:p>
      </xdr:txBody>
    </xdr:sp>
    <xdr:clientData/>
  </xdr:twoCellAnchor>
  <xdr:twoCellAnchor>
    <xdr:from>
      <xdr:col>1</xdr:col>
      <xdr:colOff>15240</xdr:colOff>
      <xdr:row>507</xdr:row>
      <xdr:rowOff>89497</xdr:rowOff>
    </xdr:from>
    <xdr:to>
      <xdr:col>6</xdr:col>
      <xdr:colOff>464820</xdr:colOff>
      <xdr:row>544</xdr:row>
      <xdr:rowOff>5677</xdr:rowOff>
    </xdr:to>
    <xdr:sp macro="" textlink="">
      <xdr:nvSpPr>
        <xdr:cNvPr id="2295" name="TextBox 2294">
          <a:extLst>
            <a:ext uri="{FF2B5EF4-FFF2-40B4-BE49-F238E27FC236}">
              <a16:creationId xmlns:a16="http://schemas.microsoft.com/office/drawing/2014/main" id="{00000000-0008-0000-0200-0000F7080000}"/>
            </a:ext>
          </a:extLst>
        </xdr:cNvPr>
        <xdr:cNvSpPr txBox="1"/>
      </xdr:nvSpPr>
      <xdr:spPr>
        <a:xfrm>
          <a:off x="137160" y="102067957"/>
          <a:ext cx="2926080" cy="6400800"/>
        </a:xfrm>
        <a:prstGeom prst="rect">
          <a:avLst/>
        </a:prstGeom>
        <a:solidFill>
          <a:srgbClr val="FFFF00">
            <a:alpha val="67000"/>
          </a:srgbClr>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algn="r">
            <a:spcAft>
              <a:spcPts val="600"/>
            </a:spcAft>
          </a:pPr>
          <a:r>
            <a:rPr lang="en-US" sz="1400" b="1" spc="-20" baseline="0">
              <a:solidFill>
                <a:schemeClr val="dk1"/>
              </a:solidFill>
              <a:latin typeface="Tahoma" panose="020B0604030504040204" pitchFamily="34" charset="0"/>
              <a:ea typeface="Tahoma" panose="020B0604030504040204" pitchFamily="34" charset="0"/>
              <a:cs typeface="Tahoma" panose="020B0604030504040204" pitchFamily="34" charset="0"/>
            </a:rPr>
            <a:t>IF </a:t>
          </a:r>
          <a:r>
            <a:rPr lang="en-US" sz="1400" b="1" spc="-2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WIDE-ORIENTED</a:t>
          </a:r>
          <a:r>
            <a:rPr lang="en-US" sz="1400" b="1" spc="-20" baseline="0">
              <a:solidFill>
                <a:schemeClr val="dk1"/>
              </a:solidFill>
              <a:latin typeface="Tahoma" panose="020B0604030504040204" pitchFamily="34" charset="0"/>
              <a:ea typeface="Tahoma" panose="020B0604030504040204" pitchFamily="34" charset="0"/>
              <a:cs typeface="Tahoma" panose="020B0604030504040204" pitchFamily="34" charset="0"/>
            </a:rPr>
            <a:t> ON THE </a:t>
          </a: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POLITICAL </a:t>
          </a:r>
          <a:r>
            <a:rPr lang="en-US" sz="1400" b="1" i="1" spc="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LEFT</a:t>
          </a: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 LISTEN TO THE </a:t>
          </a:r>
          <a:r>
            <a:rPr lang="en-US" sz="1400" b="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DEEP-ORIENTED</a:t>
          </a:r>
        </a:p>
        <a:p>
          <a:pPr lvl="0" algn="r">
            <a:spcBef>
              <a:spcPts val="900"/>
            </a:spcBef>
            <a:spcAft>
              <a:spcPts val="900"/>
            </a:spcAft>
          </a:pPr>
          <a:r>
            <a:rPr lang="en-US" sz="1200" baseline="0">
              <a:solidFill>
                <a:schemeClr val="dk1"/>
              </a:solidFill>
              <a:latin typeface="Arial Black" panose="020B0A04020102020204" pitchFamily="34" charset="0"/>
              <a:ea typeface="Tahoma" panose="020B0604030504040204" pitchFamily="34" charset="0"/>
              <a:cs typeface="Tahoma" panose="020B0604030504040204" pitchFamily="34" charset="0"/>
            </a:rPr>
            <a:t>Can you feel their </a:t>
          </a:r>
          <a:r>
            <a:rPr lang="en-US" sz="1200" baseline="0">
              <a:ln>
                <a:solidFill>
                  <a:srgbClr val="FFFF00"/>
                </a:solidFill>
              </a:ln>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200" baseline="0">
              <a:solidFill>
                <a:schemeClr val="dk1"/>
              </a:solidFill>
              <a:latin typeface="Arial Black" panose="020B0A04020102020204" pitchFamily="34" charset="0"/>
              <a:ea typeface="Tahoma" panose="020B0604030504040204" pitchFamily="34" charset="0"/>
              <a:cs typeface="Tahoma" panose="020B0604030504040204" pitchFamily="34" charset="0"/>
            </a:rPr>
            <a:t> without insisting they feel yours first?</a:t>
          </a:r>
        </a:p>
        <a:p>
          <a:pPr algn="r">
            <a:spcBef>
              <a:spcPts val="0"/>
            </a:spcBef>
            <a:spcAft>
              <a:spcPts val="1200"/>
            </a:spcAft>
          </a:pP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Their resistance to </a:t>
          </a:r>
          <a:r>
            <a:rPr lang="en-US" sz="14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government</a:t>
          </a: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400" b="1" baseline="0">
              <a:solidFill>
                <a:srgbClr val="C80000"/>
              </a:solidFill>
              <a:latin typeface="Tahoma" panose="020B0604030504040204" pitchFamily="34" charset="0"/>
              <a:ea typeface="Tahoma" panose="020B0604030504040204" pitchFamily="34" charset="0"/>
              <a:cs typeface="Tahoma" panose="020B0604030504040204" pitchFamily="34" charset="0"/>
            </a:rPr>
            <a:t>tyranny</a:t>
          </a: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400" baseline="0">
              <a:latin typeface="Tahoma" panose="020B0604030504040204" pitchFamily="34" charset="0"/>
              <a:ea typeface="Tahoma" panose="020B0604030504040204" pitchFamily="34" charset="0"/>
              <a:cs typeface="Tahoma" panose="020B0604030504040204" pitchFamily="34" charset="0"/>
            </a:rPr>
            <a:t>is painfully real.</a:t>
          </a:r>
          <a:r>
            <a:rPr lang="en-US" sz="1100" baseline="0">
              <a:latin typeface="Tahoma" panose="020B0604030504040204" pitchFamily="34" charset="0"/>
              <a:ea typeface="Tahoma" panose="020B0604030504040204" pitchFamily="34" charset="0"/>
              <a:cs typeface="Tahoma" panose="020B0604030504040204" pitchFamily="34" charset="0"/>
            </a:rPr>
            <a:t> </a:t>
          </a:r>
        </a:p>
        <a:p>
          <a:pPr algn="r"/>
          <a:r>
            <a:rPr lang="en-US" sz="1100" baseline="0">
              <a:latin typeface="Tahoma" panose="020B0604030504040204" pitchFamily="34" charset="0"/>
              <a:ea typeface="Tahoma" panose="020B0604030504040204" pitchFamily="34" charset="0"/>
              <a:cs typeface="Tahoma" panose="020B0604030504040204" pitchFamily="34" charset="0"/>
            </a:rPr>
            <a:t>They struggle to warn you of </a:t>
          </a:r>
          <a:r>
            <a:rPr lang="en-US" sz="11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mounting</a:t>
          </a:r>
          <a:r>
            <a:rPr lang="en-US" sz="1100" baseline="0">
              <a:ln>
                <a:solidFill>
                  <a:srgbClr val="C80000"/>
                </a:solidFill>
              </a:ln>
              <a:latin typeface="Tahoma" panose="020B0604030504040204" pitchFamily="34" charset="0"/>
              <a:ea typeface="Tahoma" panose="020B0604030504040204" pitchFamily="34" charset="0"/>
              <a:cs typeface="Tahoma" panose="020B0604030504040204" pitchFamily="34" charset="0"/>
            </a:rPr>
            <a:t> </a:t>
          </a:r>
          <a:r>
            <a:rPr lang="en-US" sz="11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disintegration</a:t>
          </a:r>
          <a:r>
            <a:rPr lang="en-US" sz="1100" baseline="0">
              <a:latin typeface="Tahoma" panose="020B0604030504040204" pitchFamily="34" charset="0"/>
              <a:ea typeface="Tahoma" panose="020B0604030504040204" pitchFamily="34" charset="0"/>
              <a:cs typeface="Tahoma" panose="020B0604030504040204" pitchFamily="34" charset="0"/>
            </a:rPr>
            <a:t> they endure from coercive government pressures on their once cohesive families, neighborhoods, towns. </a:t>
          </a:r>
          <a:r>
            <a:rPr lang="en-US" sz="1100" baseline="0">
              <a:effectLst>
                <a:glow rad="38100">
                  <a:srgbClr val="00B050"/>
                </a:glow>
              </a:effectLst>
              <a:latin typeface="Tahoma" panose="020B0604030504040204" pitchFamily="34" charset="0"/>
              <a:ea typeface="Tahoma" panose="020B0604030504040204" pitchFamily="34" charset="0"/>
              <a:cs typeface="Tahoma" panose="020B0604030504040204" pitchFamily="34" charset="0"/>
            </a:rPr>
            <a:t>They invite you to be part of the solution, </a:t>
          </a:r>
          <a:r>
            <a:rPr lang="en-US" sz="1100" baseline="0">
              <a:effectLst>
                <a:glow rad="38100">
                  <a:srgbClr val="FFFF00"/>
                </a:glow>
              </a:effectLst>
              <a:latin typeface="Tahoma" panose="020B0604030504040204" pitchFamily="34" charset="0"/>
              <a:ea typeface="Tahoma" panose="020B0604030504040204" pitchFamily="34" charset="0"/>
              <a:cs typeface="Tahoma" panose="020B0604030504040204" pitchFamily="34" charset="0"/>
            </a:rPr>
            <a:t>and not complicit with the problem</a:t>
          </a:r>
          <a:r>
            <a:rPr lang="en-US" sz="1100" baseline="0">
              <a:latin typeface="Tahoma" panose="020B0604030504040204" pitchFamily="34" charset="0"/>
              <a:ea typeface="Tahoma" panose="020B0604030504040204" pitchFamily="34" charset="0"/>
              <a:cs typeface="Tahoma" panose="020B0604030504040204" pitchFamily="34" charset="0"/>
            </a:rPr>
            <a:t>.</a:t>
          </a:r>
        </a:p>
        <a:p>
          <a:pPr algn="r"/>
          <a:endParaRPr lang="en-US" sz="1200" baseline="0">
            <a:latin typeface="Tahoma" panose="020B0604030504040204" pitchFamily="34" charset="0"/>
            <a:ea typeface="Tahoma" panose="020B0604030504040204" pitchFamily="34" charset="0"/>
            <a:cs typeface="Tahoma" panose="020B0604030504040204" pitchFamily="34" charset="0"/>
          </a:endParaRPr>
        </a:p>
        <a:p>
          <a:pPr algn="r"/>
          <a:r>
            <a:rPr lang="en-US" sz="1800" baseline="0">
              <a:latin typeface="Tahoma" panose="020B0604030504040204" pitchFamily="34" charset="0"/>
              <a:ea typeface="Tahoma" panose="020B0604030504040204" pitchFamily="34" charset="0"/>
              <a:cs typeface="Tahoma" panose="020B0604030504040204" pitchFamily="34" charset="0"/>
            </a:rPr>
            <a:t>They must </a:t>
          </a:r>
          <a:r>
            <a:rPr lang="en-US" sz="1800" b="1" baseline="0">
              <a:solidFill>
                <a:srgbClr val="C80000"/>
              </a:solidFill>
              <a:latin typeface="Tahoma" panose="020B0604030504040204" pitchFamily="34" charset="0"/>
              <a:ea typeface="Tahoma" panose="020B0604030504040204" pitchFamily="34" charset="0"/>
              <a:cs typeface="Tahoma" panose="020B0604030504040204" pitchFamily="34" charset="0"/>
            </a:rPr>
            <a:t>guard</a:t>
          </a:r>
          <a:r>
            <a:rPr lang="en-US" sz="1800" baseline="0">
              <a:latin typeface="Tahoma" panose="020B0604030504040204" pitchFamily="34" charset="0"/>
              <a:ea typeface="Tahoma" panose="020B0604030504040204" pitchFamily="34" charset="0"/>
              <a:cs typeface="Tahoma" panose="020B0604030504040204" pitchFamily="34" charset="0"/>
            </a:rPr>
            <a:t> their </a:t>
          </a:r>
          <a:r>
            <a:rPr lang="en-US" sz="1600" i="1" baseline="0">
              <a:latin typeface="Tahoma" panose="020B0604030504040204" pitchFamily="34" charset="0"/>
              <a:ea typeface="Tahoma" panose="020B0604030504040204" pitchFamily="34" charset="0"/>
              <a:cs typeface="Tahoma" panose="020B0604030504040204" pitchFamily="34" charset="0"/>
            </a:rPr>
            <a:t>more</a:t>
          </a:r>
          <a:r>
            <a:rPr lang="en-US" sz="1600" baseline="0">
              <a:latin typeface="Tahoma" panose="020B0604030504040204" pitchFamily="34" charset="0"/>
              <a:ea typeface="Tahoma" panose="020B0604030504040204" pitchFamily="34" charset="0"/>
              <a:cs typeface="Tahoma" panose="020B0604030504040204" pitchFamily="34" charset="0"/>
            </a:rPr>
            <a:t> resolved social-needs. </a:t>
          </a:r>
        </a:p>
        <a:p>
          <a:pPr algn="r">
            <a:spcBef>
              <a:spcPts val="600"/>
            </a:spcBef>
            <a:spcAft>
              <a:spcPts val="600"/>
            </a:spcAft>
          </a:pPr>
          <a:r>
            <a:rPr lang="en-US" sz="1100" baseline="0">
              <a:solidFill>
                <a:srgbClr val="C00000"/>
              </a:solidFill>
              <a:latin typeface="Tahoma" panose="020B0604030504040204" pitchFamily="34" charset="0"/>
              <a:ea typeface="Tahoma" panose="020B0604030504040204" pitchFamily="34" charset="0"/>
              <a:cs typeface="Tahoma" panose="020B0604030504040204" pitchFamily="34" charset="0"/>
            </a:rPr>
            <a:t>They must conserve their traditionally loyal relationships, they must guard their loved ones from individual threats of violence, they must protect their hard-earned property, they must preserve free enterprise, and resist any outside threats to their working way of cohesive life. </a:t>
          </a: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 </a:t>
          </a:r>
        </a:p>
        <a:p>
          <a:pPr algn="r"/>
          <a:r>
            <a:rPr lang="en-US" sz="1300" spc="-50" baseline="0">
              <a:latin typeface="Tahoma" panose="020B0604030504040204" pitchFamily="34" charset="0"/>
              <a:ea typeface="Tahoma" panose="020B0604030504040204" pitchFamily="34" charset="0"/>
              <a:cs typeface="Tahoma" panose="020B0604030504040204" pitchFamily="34" charset="0"/>
            </a:rPr>
            <a:t>They must because their lives count on these to </a:t>
          </a:r>
          <a:r>
            <a:rPr lang="en-US" sz="1300" b="1" spc="-50" baseline="0">
              <a:solidFill>
                <a:srgbClr val="C80000"/>
              </a:solidFill>
              <a:latin typeface="Tahoma" panose="020B0604030504040204" pitchFamily="34" charset="0"/>
              <a:ea typeface="Tahoma" panose="020B0604030504040204" pitchFamily="34" charset="0"/>
              <a:cs typeface="Tahoma" panose="020B0604030504040204" pitchFamily="34" charset="0"/>
            </a:rPr>
            <a:t>guard</a:t>
          </a:r>
          <a:r>
            <a:rPr lang="en-US" sz="1300" spc="-50" baseline="0">
              <a:latin typeface="Tahoma" panose="020B0604030504040204" pitchFamily="34" charset="0"/>
              <a:ea typeface="Tahoma" panose="020B0604030504040204" pitchFamily="34" charset="0"/>
              <a:cs typeface="Tahoma" panose="020B0604030504040204" pitchFamily="34" charset="0"/>
            </a:rPr>
            <a:t> their painfully impacted social-needs. How this painfully impacts </a:t>
          </a:r>
          <a:r>
            <a:rPr lang="en-US" sz="1300" spc="-60" baseline="0">
              <a:latin typeface="Tahoma" panose="020B0604030504040204" pitchFamily="34" charset="0"/>
              <a:ea typeface="Tahoma" panose="020B0604030504040204" pitchFamily="34" charset="0"/>
              <a:cs typeface="Tahoma" panose="020B0604030504040204" pitchFamily="34" charset="0"/>
            </a:rPr>
            <a:t>you is a separate matter,</a:t>
          </a:r>
          <a:r>
            <a:rPr lang="en-US" sz="1300" spc="-50" baseline="0">
              <a:latin typeface="Tahoma" panose="020B0604030504040204" pitchFamily="34" charset="0"/>
              <a:ea typeface="Tahoma" panose="020B0604030504040204" pitchFamily="34" charset="0"/>
              <a:cs typeface="Tahoma" panose="020B0604030504040204" pitchFamily="34" charset="0"/>
            </a:rPr>
            <a:t> covered below.</a:t>
          </a:r>
        </a:p>
      </xdr:txBody>
    </xdr:sp>
    <xdr:clientData/>
  </xdr:twoCellAnchor>
  <xdr:twoCellAnchor>
    <xdr:from>
      <xdr:col>1</xdr:col>
      <xdr:colOff>30480</xdr:colOff>
      <xdr:row>548</xdr:row>
      <xdr:rowOff>91440</xdr:rowOff>
    </xdr:from>
    <xdr:to>
      <xdr:col>12</xdr:col>
      <xdr:colOff>434340</xdr:colOff>
      <xdr:row>552</xdr:row>
      <xdr:rowOff>76200</xdr:rowOff>
    </xdr:to>
    <xdr:sp macro="" textlink="">
      <xdr:nvSpPr>
        <xdr:cNvPr id="18" name="Rectangle: Rounded Corners 17">
          <a:extLst>
            <a:ext uri="{FF2B5EF4-FFF2-40B4-BE49-F238E27FC236}">
              <a16:creationId xmlns:a16="http://schemas.microsoft.com/office/drawing/2014/main" id="{00000000-0008-0000-0200-000012000000}"/>
            </a:ext>
          </a:extLst>
        </xdr:cNvPr>
        <xdr:cNvSpPr/>
      </xdr:nvSpPr>
      <xdr:spPr>
        <a:xfrm>
          <a:off x="152400" y="92247720"/>
          <a:ext cx="5852160" cy="685800"/>
        </a:xfrm>
        <a:prstGeom prst="roundRect">
          <a:avLst>
            <a:gd name="adj" fmla="val 31111"/>
          </a:avLst>
        </a:prstGeom>
        <a:solidFill>
          <a:srgbClr val="7030A0"/>
        </a:solidFill>
        <a:ln w="28575">
          <a:solidFill>
            <a:srgbClr val="FF99FF"/>
          </a:solidFill>
        </a:ln>
        <a:effectLst>
          <a:outerShdw blurRad="50800" dist="38100" dir="5400000" algn="t" rotWithShape="0">
            <a:prstClr val="black">
              <a:alpha val="40000"/>
            </a:prstClr>
          </a:outerShdw>
        </a:effectLst>
        <a:scene3d>
          <a:camera prst="orthographicFront"/>
          <a:lightRig rig="threePt" dir="t"/>
        </a:scene3d>
        <a:sp3d>
          <a:bevelT w="152400" h="50800" prst="softRound"/>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685800" tIns="0" rIns="68580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baseline="0">
              <a:solidFill>
                <a:srgbClr val="FF99FF"/>
              </a:solidFill>
              <a:effectLst>
                <a:outerShdw blurRad="50800" dist="38100" dir="5400000" algn="t" rotWithShape="0">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Those forcibly opposing the needs of another easily becomes the evil they fear in the other.</a:t>
          </a:r>
          <a:endParaRPr lang="en-US" sz="1400">
            <a:solidFill>
              <a:srgbClr val="FF99FF"/>
            </a:solidFill>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25615</xdr:colOff>
      <xdr:row>461</xdr:row>
      <xdr:rowOff>30461</xdr:rowOff>
    </xdr:from>
    <xdr:to>
      <xdr:col>6</xdr:col>
      <xdr:colOff>444715</xdr:colOff>
      <xdr:row>483</xdr:row>
      <xdr:rowOff>91362</xdr:rowOff>
    </xdr:to>
    <xdr:grpSp>
      <xdr:nvGrpSpPr>
        <xdr:cNvPr id="2338" name="Group 2337">
          <a:extLst>
            <a:ext uri="{FF2B5EF4-FFF2-40B4-BE49-F238E27FC236}">
              <a16:creationId xmlns:a16="http://schemas.microsoft.com/office/drawing/2014/main" id="{00000000-0008-0000-0200-000022090000}"/>
            </a:ext>
          </a:extLst>
        </xdr:cNvPr>
        <xdr:cNvGrpSpPr>
          <a:grpSpLocks noChangeAspect="1"/>
        </xdr:cNvGrpSpPr>
      </xdr:nvGrpSpPr>
      <xdr:grpSpPr>
        <a:xfrm>
          <a:off x="25615" y="93771701"/>
          <a:ext cx="3048000" cy="3916621"/>
          <a:chOff x="16390877" y="104371619"/>
          <a:chExt cx="3394451" cy="4176376"/>
        </a:xfrm>
      </xdr:grpSpPr>
      <xdr:sp macro="" textlink="">
        <xdr:nvSpPr>
          <xdr:cNvPr id="2340" name="Speech Bubble: Oval 2339">
            <a:extLst>
              <a:ext uri="{FF2B5EF4-FFF2-40B4-BE49-F238E27FC236}">
                <a16:creationId xmlns:a16="http://schemas.microsoft.com/office/drawing/2014/main" id="{00000000-0008-0000-0200-000024090000}"/>
              </a:ext>
            </a:extLst>
          </xdr:cNvPr>
          <xdr:cNvSpPr/>
        </xdr:nvSpPr>
        <xdr:spPr>
          <a:xfrm>
            <a:off x="16390877" y="104371619"/>
            <a:ext cx="3394451" cy="926292"/>
          </a:xfrm>
          <a:prstGeom prst="wedgeEllipseCallout">
            <a:avLst>
              <a:gd name="adj1" fmla="val -26576"/>
              <a:gd name="adj2" fmla="val 97459"/>
            </a:avLst>
          </a:prstGeom>
          <a:solidFill>
            <a:srgbClr val="0070C0"/>
          </a:solidFill>
          <a:ln>
            <a:solidFill>
              <a:srgbClr val="0070C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nvGrpSpPr>
          <xdr:cNvPr id="2339" name="Group 2338">
            <a:extLst>
              <a:ext uri="{FF2B5EF4-FFF2-40B4-BE49-F238E27FC236}">
                <a16:creationId xmlns:a16="http://schemas.microsoft.com/office/drawing/2014/main" id="{00000000-0008-0000-0200-000023090000}"/>
              </a:ext>
            </a:extLst>
          </xdr:cNvPr>
          <xdr:cNvGrpSpPr/>
        </xdr:nvGrpSpPr>
        <xdr:grpSpPr>
          <a:xfrm>
            <a:off x="16602074" y="105804805"/>
            <a:ext cx="1053296" cy="2743190"/>
            <a:chOff x="16602074" y="105804805"/>
            <a:chExt cx="1053296" cy="2743190"/>
          </a:xfrm>
        </xdr:grpSpPr>
        <xdr:grpSp>
          <xdr:nvGrpSpPr>
            <xdr:cNvPr id="2341" name="Group 2340">
              <a:extLst>
                <a:ext uri="{FF2B5EF4-FFF2-40B4-BE49-F238E27FC236}">
                  <a16:creationId xmlns:a16="http://schemas.microsoft.com/office/drawing/2014/main" id="{00000000-0008-0000-0200-000025090000}"/>
                </a:ext>
              </a:extLst>
            </xdr:cNvPr>
            <xdr:cNvGrpSpPr>
              <a:grpSpLocks noChangeAspect="1"/>
            </xdr:cNvGrpSpPr>
          </xdr:nvGrpSpPr>
          <xdr:grpSpPr>
            <a:xfrm>
              <a:off x="16602074" y="105804805"/>
              <a:ext cx="1053296" cy="2743190"/>
              <a:chOff x="4819649" y="105558344"/>
              <a:chExt cx="2600325" cy="6772262"/>
            </a:xfrm>
            <a:solidFill>
              <a:srgbClr val="00B0F0"/>
            </a:solidFill>
          </xdr:grpSpPr>
          <xdr:sp macro="" textlink="">
            <xdr:nvSpPr>
              <xdr:cNvPr id="2346" name="Rectangle: Rounded Corners 2345">
                <a:extLst>
                  <a:ext uri="{FF2B5EF4-FFF2-40B4-BE49-F238E27FC236}">
                    <a16:creationId xmlns:a16="http://schemas.microsoft.com/office/drawing/2014/main" id="{00000000-0008-0000-0200-00002A090000}"/>
                  </a:ext>
                </a:extLst>
              </xdr:cNvPr>
              <xdr:cNvSpPr/>
            </xdr:nvSpPr>
            <xdr:spPr>
              <a:xfrm>
                <a:off x="4819649" y="107206134"/>
                <a:ext cx="457199" cy="228600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7" name="Rectangle: Rounded Corners 2346">
                <a:extLst>
                  <a:ext uri="{FF2B5EF4-FFF2-40B4-BE49-F238E27FC236}">
                    <a16:creationId xmlns:a16="http://schemas.microsoft.com/office/drawing/2014/main" id="{00000000-0008-0000-0200-00002B090000}"/>
                  </a:ext>
                </a:extLst>
              </xdr:cNvPr>
              <xdr:cNvSpPr/>
            </xdr:nvSpPr>
            <xdr:spPr>
              <a:xfrm>
                <a:off x="6962775" y="107206134"/>
                <a:ext cx="457199" cy="228600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8" name="Rectangle: Rounded Corners 2347">
                <a:extLst>
                  <a:ext uri="{FF2B5EF4-FFF2-40B4-BE49-F238E27FC236}">
                    <a16:creationId xmlns:a16="http://schemas.microsoft.com/office/drawing/2014/main" id="{00000000-0008-0000-0200-00002C090000}"/>
                  </a:ext>
                </a:extLst>
              </xdr:cNvPr>
              <xdr:cNvSpPr/>
            </xdr:nvSpPr>
            <xdr:spPr>
              <a:xfrm rot="16200000">
                <a:off x="5553073" y="106139349"/>
                <a:ext cx="1133480" cy="2581277"/>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9" name="Rectangle: Rounded Corners 2348">
                <a:extLst>
                  <a:ext uri="{FF2B5EF4-FFF2-40B4-BE49-F238E27FC236}">
                    <a16:creationId xmlns:a16="http://schemas.microsoft.com/office/drawing/2014/main" id="{00000000-0008-0000-0200-00002D090000}"/>
                  </a:ext>
                </a:extLst>
              </xdr:cNvPr>
              <xdr:cNvSpPr/>
            </xdr:nvSpPr>
            <xdr:spPr>
              <a:xfrm rot="16200000">
                <a:off x="5557836" y="105553582"/>
                <a:ext cx="1133480"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0" name="Rectangle: Rounded Corners 2349">
                <a:extLst>
                  <a:ext uri="{FF2B5EF4-FFF2-40B4-BE49-F238E27FC236}">
                    <a16:creationId xmlns:a16="http://schemas.microsoft.com/office/drawing/2014/main" id="{00000000-0008-0000-0200-00002E090000}"/>
                  </a:ext>
                </a:extLst>
              </xdr:cNvPr>
              <xdr:cNvSpPr/>
            </xdr:nvSpPr>
            <xdr:spPr>
              <a:xfrm rot="16200000">
                <a:off x="5210177" y="108006242"/>
                <a:ext cx="1828801"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1" name="Rectangle: Rounded Corners 2350">
                <a:extLst>
                  <a:ext uri="{FF2B5EF4-FFF2-40B4-BE49-F238E27FC236}">
                    <a16:creationId xmlns:a16="http://schemas.microsoft.com/office/drawing/2014/main" id="{00000000-0008-0000-0200-00002F090000}"/>
                  </a:ext>
                </a:extLst>
              </xdr:cNvPr>
              <xdr:cNvSpPr/>
            </xdr:nvSpPr>
            <xdr:spPr>
              <a:xfrm>
                <a:off x="5419726" y="107301392"/>
                <a:ext cx="640079" cy="5029214"/>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2" name="Rectangle: Rounded Corners 2351">
                <a:extLst>
                  <a:ext uri="{FF2B5EF4-FFF2-40B4-BE49-F238E27FC236}">
                    <a16:creationId xmlns:a16="http://schemas.microsoft.com/office/drawing/2014/main" id="{00000000-0008-0000-0200-000030090000}"/>
                  </a:ext>
                </a:extLst>
              </xdr:cNvPr>
              <xdr:cNvSpPr/>
            </xdr:nvSpPr>
            <xdr:spPr>
              <a:xfrm>
                <a:off x="6200775" y="107301389"/>
                <a:ext cx="640079" cy="502921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42" name="Group 2341">
              <a:extLst>
                <a:ext uri="{FF2B5EF4-FFF2-40B4-BE49-F238E27FC236}">
                  <a16:creationId xmlns:a16="http://schemas.microsoft.com/office/drawing/2014/main" id="{00000000-0008-0000-0200-000026090000}"/>
                </a:ext>
              </a:extLst>
            </xdr:cNvPr>
            <xdr:cNvGrpSpPr/>
          </xdr:nvGrpSpPr>
          <xdr:grpSpPr>
            <a:xfrm>
              <a:off x="16655688" y="106437442"/>
              <a:ext cx="953589" cy="1109382"/>
              <a:chOff x="1638300" y="401840"/>
              <a:chExt cx="1112520" cy="1371600"/>
            </a:xfrm>
          </xdr:grpSpPr>
          <xdr:sp macro="" textlink="">
            <xdr:nvSpPr>
              <xdr:cNvPr id="2343" name="Rectangle 2342">
                <a:extLst>
                  <a:ext uri="{FF2B5EF4-FFF2-40B4-BE49-F238E27FC236}">
                    <a16:creationId xmlns:a16="http://schemas.microsoft.com/office/drawing/2014/main" id="{00000000-0008-0000-0200-000027090000}"/>
                  </a:ext>
                </a:extLst>
              </xdr:cNvPr>
              <xdr:cNvSpPr/>
            </xdr:nvSpPr>
            <xdr:spPr>
              <a:xfrm>
                <a:off x="1638300" y="401840"/>
                <a:ext cx="457200" cy="1371600"/>
              </a:xfrm>
              <a:prstGeom prst="rect">
                <a:avLst/>
              </a:prstGeom>
              <a:gradFill>
                <a:gsLst>
                  <a:gs pos="0">
                    <a:schemeClr val="bg1">
                      <a:lumMod val="95000"/>
                    </a:schemeClr>
                  </a:gs>
                  <a:gs pos="29000">
                    <a:schemeClr val="bg1">
                      <a:lumMod val="95000"/>
                    </a:schemeClr>
                  </a:gs>
                  <a:gs pos="30000">
                    <a:schemeClr val="accent6">
                      <a:lumMod val="40000"/>
                      <a:lumOff val="60000"/>
                    </a:schemeClr>
                  </a:gs>
                  <a:gs pos="100000">
                    <a:schemeClr val="accent6">
                      <a:lumMod val="60000"/>
                      <a:lumOff val="40000"/>
                    </a:schemeClr>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44" name="Rectangle 2343">
                <a:extLst>
                  <a:ext uri="{FF2B5EF4-FFF2-40B4-BE49-F238E27FC236}">
                    <a16:creationId xmlns:a16="http://schemas.microsoft.com/office/drawing/2014/main" id="{00000000-0008-0000-0200-000028090000}"/>
                  </a:ext>
                </a:extLst>
              </xdr:cNvPr>
              <xdr:cNvSpPr/>
            </xdr:nvSpPr>
            <xdr:spPr>
              <a:xfrm>
                <a:off x="2293620" y="401840"/>
                <a:ext cx="457200" cy="1371600"/>
              </a:xfrm>
              <a:prstGeom prst="rect">
                <a:avLst/>
              </a:prstGeom>
              <a:gradFill>
                <a:gsLst>
                  <a:gs pos="0">
                    <a:schemeClr val="bg1">
                      <a:lumMod val="95000"/>
                    </a:schemeClr>
                  </a:gs>
                  <a:gs pos="39000">
                    <a:schemeClr val="bg1">
                      <a:lumMod val="95000"/>
                    </a:schemeClr>
                  </a:gs>
                  <a:gs pos="40000">
                    <a:srgbClr val="F0CDFF"/>
                  </a:gs>
                  <a:gs pos="100000">
                    <a:srgbClr val="D7B9FF"/>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45" name="Straight Connector 2344">
                <a:extLst>
                  <a:ext uri="{FF2B5EF4-FFF2-40B4-BE49-F238E27FC236}">
                    <a16:creationId xmlns:a16="http://schemas.microsoft.com/office/drawing/2014/main" id="{00000000-0008-0000-0200-000029090000}"/>
                  </a:ext>
                </a:extLst>
              </xdr:cNvPr>
              <xdr:cNvCxnSpPr/>
            </xdr:nvCxnSpPr>
            <xdr:spPr>
              <a:xfrm flipH="1" flipV="1">
                <a:off x="2095500" y="820335"/>
                <a:ext cx="198120" cy="129739"/>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grpSp>
    <xdr:clientData/>
  </xdr:twoCellAnchor>
  <xdr:twoCellAnchor>
    <xdr:from>
      <xdr:col>7</xdr:col>
      <xdr:colOff>45717</xdr:colOff>
      <xdr:row>461</xdr:row>
      <xdr:rowOff>30461</xdr:rowOff>
    </xdr:from>
    <xdr:to>
      <xdr:col>13</xdr:col>
      <xdr:colOff>91437</xdr:colOff>
      <xdr:row>483</xdr:row>
      <xdr:rowOff>106665</xdr:rowOff>
    </xdr:to>
    <xdr:grpSp>
      <xdr:nvGrpSpPr>
        <xdr:cNvPr id="2353" name="Group 2352">
          <a:extLst>
            <a:ext uri="{FF2B5EF4-FFF2-40B4-BE49-F238E27FC236}">
              <a16:creationId xmlns:a16="http://schemas.microsoft.com/office/drawing/2014/main" id="{00000000-0008-0000-0200-000031090000}"/>
            </a:ext>
          </a:extLst>
        </xdr:cNvPr>
        <xdr:cNvGrpSpPr>
          <a:grpSpLocks noChangeAspect="1"/>
        </xdr:cNvGrpSpPr>
      </xdr:nvGrpSpPr>
      <xdr:grpSpPr>
        <a:xfrm>
          <a:off x="3177537" y="93771701"/>
          <a:ext cx="3063240" cy="3931924"/>
          <a:chOff x="15792437" y="104350839"/>
          <a:chExt cx="3360336" cy="4157901"/>
        </a:xfrm>
      </xdr:grpSpPr>
      <xdr:grpSp>
        <xdr:nvGrpSpPr>
          <xdr:cNvPr id="2354" name="Group 2353">
            <a:extLst>
              <a:ext uri="{FF2B5EF4-FFF2-40B4-BE49-F238E27FC236}">
                <a16:creationId xmlns:a16="http://schemas.microsoft.com/office/drawing/2014/main" id="{00000000-0008-0000-0200-000032090000}"/>
              </a:ext>
            </a:extLst>
          </xdr:cNvPr>
          <xdr:cNvGrpSpPr/>
        </xdr:nvGrpSpPr>
        <xdr:grpSpPr>
          <a:xfrm>
            <a:off x="17926049" y="105765540"/>
            <a:ext cx="1053296" cy="2743200"/>
            <a:chOff x="17926049" y="105765540"/>
            <a:chExt cx="1053296" cy="2743200"/>
          </a:xfrm>
        </xdr:grpSpPr>
        <xdr:grpSp>
          <xdr:nvGrpSpPr>
            <xdr:cNvPr id="2356" name="Group 2355">
              <a:extLst>
                <a:ext uri="{FF2B5EF4-FFF2-40B4-BE49-F238E27FC236}">
                  <a16:creationId xmlns:a16="http://schemas.microsoft.com/office/drawing/2014/main" id="{00000000-0008-0000-0200-000034090000}"/>
                </a:ext>
              </a:extLst>
            </xdr:cNvPr>
            <xdr:cNvGrpSpPr>
              <a:grpSpLocks noChangeAspect="1"/>
            </xdr:cNvGrpSpPr>
          </xdr:nvGrpSpPr>
          <xdr:grpSpPr>
            <a:xfrm>
              <a:off x="17926049" y="105765540"/>
              <a:ext cx="1053296" cy="2743200"/>
              <a:chOff x="4819649" y="105531775"/>
              <a:chExt cx="2600325" cy="6772276"/>
            </a:xfrm>
            <a:solidFill>
              <a:srgbClr val="FF7171"/>
            </a:solidFill>
          </xdr:grpSpPr>
          <xdr:sp macro="" textlink="">
            <xdr:nvSpPr>
              <xdr:cNvPr id="2361" name="Rectangle: Rounded Corners 2360">
                <a:extLst>
                  <a:ext uri="{FF2B5EF4-FFF2-40B4-BE49-F238E27FC236}">
                    <a16:creationId xmlns:a16="http://schemas.microsoft.com/office/drawing/2014/main" id="{00000000-0008-0000-0200-000039090000}"/>
                  </a:ext>
                </a:extLst>
              </xdr:cNvPr>
              <xdr:cNvSpPr/>
            </xdr:nvSpPr>
            <xdr:spPr>
              <a:xfrm>
                <a:off x="4819649" y="107179603"/>
                <a:ext cx="457201" cy="2286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2" name="Rectangle: Rounded Corners 2361">
                <a:extLst>
                  <a:ext uri="{FF2B5EF4-FFF2-40B4-BE49-F238E27FC236}">
                    <a16:creationId xmlns:a16="http://schemas.microsoft.com/office/drawing/2014/main" id="{00000000-0008-0000-0200-00003A090000}"/>
                  </a:ext>
                </a:extLst>
              </xdr:cNvPr>
              <xdr:cNvSpPr/>
            </xdr:nvSpPr>
            <xdr:spPr>
              <a:xfrm>
                <a:off x="6962773" y="107179603"/>
                <a:ext cx="457201" cy="2286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3" name="Rectangle: Rounded Corners 2362">
                <a:extLst>
                  <a:ext uri="{FF2B5EF4-FFF2-40B4-BE49-F238E27FC236}">
                    <a16:creationId xmlns:a16="http://schemas.microsoft.com/office/drawing/2014/main" id="{00000000-0008-0000-0200-00003B090000}"/>
                  </a:ext>
                </a:extLst>
              </xdr:cNvPr>
              <xdr:cNvSpPr/>
            </xdr:nvSpPr>
            <xdr:spPr>
              <a:xfrm rot="16200000">
                <a:off x="5553074" y="106112802"/>
                <a:ext cx="1133478"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4" name="Rectangle: Rounded Corners 2363">
                <a:extLst>
                  <a:ext uri="{FF2B5EF4-FFF2-40B4-BE49-F238E27FC236}">
                    <a16:creationId xmlns:a16="http://schemas.microsoft.com/office/drawing/2014/main" id="{00000000-0008-0000-0200-00003C090000}"/>
                  </a:ext>
                </a:extLst>
              </xdr:cNvPr>
              <xdr:cNvSpPr/>
            </xdr:nvSpPr>
            <xdr:spPr>
              <a:xfrm rot="16200000">
                <a:off x="5557838" y="105527012"/>
                <a:ext cx="1133478" cy="1143003"/>
              </a:xfrm>
              <a:prstGeom prst="roundRect">
                <a:avLst>
                  <a:gd name="adj" fmla="val 47917"/>
                </a:avLst>
              </a:prstGeom>
              <a:solidFill>
                <a:srgbClr val="FF505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5" name="Rectangle: Rounded Corners 2364">
                <a:extLst>
                  <a:ext uri="{FF2B5EF4-FFF2-40B4-BE49-F238E27FC236}">
                    <a16:creationId xmlns:a16="http://schemas.microsoft.com/office/drawing/2014/main" id="{00000000-0008-0000-0200-00003D090000}"/>
                  </a:ext>
                </a:extLst>
              </xdr:cNvPr>
              <xdr:cNvSpPr/>
            </xdr:nvSpPr>
            <xdr:spPr>
              <a:xfrm rot="16200000">
                <a:off x="5210177" y="107979697"/>
                <a:ext cx="1828800"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6" name="Rectangle: Rounded Corners 2365">
                <a:extLst>
                  <a:ext uri="{FF2B5EF4-FFF2-40B4-BE49-F238E27FC236}">
                    <a16:creationId xmlns:a16="http://schemas.microsoft.com/office/drawing/2014/main" id="{00000000-0008-0000-0200-00003E090000}"/>
                  </a:ext>
                </a:extLst>
              </xdr:cNvPr>
              <xdr:cNvSpPr/>
            </xdr:nvSpPr>
            <xdr:spPr>
              <a:xfrm>
                <a:off x="5419725" y="107274852"/>
                <a:ext cx="640080" cy="5029199"/>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7" name="Rectangle: Rounded Corners 2366">
                <a:extLst>
                  <a:ext uri="{FF2B5EF4-FFF2-40B4-BE49-F238E27FC236}">
                    <a16:creationId xmlns:a16="http://schemas.microsoft.com/office/drawing/2014/main" id="{00000000-0008-0000-0200-00003F090000}"/>
                  </a:ext>
                </a:extLst>
              </xdr:cNvPr>
              <xdr:cNvSpPr/>
            </xdr:nvSpPr>
            <xdr:spPr>
              <a:xfrm>
                <a:off x="6200776" y="107274852"/>
                <a:ext cx="640080" cy="5029199"/>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57" name="Group 2356">
              <a:extLst>
                <a:ext uri="{FF2B5EF4-FFF2-40B4-BE49-F238E27FC236}">
                  <a16:creationId xmlns:a16="http://schemas.microsoft.com/office/drawing/2014/main" id="{00000000-0008-0000-0200-000035090000}"/>
                </a:ext>
              </a:extLst>
            </xdr:cNvPr>
            <xdr:cNvGrpSpPr/>
          </xdr:nvGrpSpPr>
          <xdr:grpSpPr>
            <a:xfrm>
              <a:off x="17977758" y="106398109"/>
              <a:ext cx="953589" cy="1109382"/>
              <a:chOff x="1638300" y="388557"/>
              <a:chExt cx="1112520" cy="1371600"/>
            </a:xfrm>
          </xdr:grpSpPr>
          <xdr:sp macro="" textlink="">
            <xdr:nvSpPr>
              <xdr:cNvPr id="2358" name="Rectangle 2357">
                <a:extLst>
                  <a:ext uri="{FF2B5EF4-FFF2-40B4-BE49-F238E27FC236}">
                    <a16:creationId xmlns:a16="http://schemas.microsoft.com/office/drawing/2014/main" id="{00000000-0008-0000-0200-000036090000}"/>
                  </a:ext>
                </a:extLst>
              </xdr:cNvPr>
              <xdr:cNvSpPr/>
            </xdr:nvSpPr>
            <xdr:spPr>
              <a:xfrm>
                <a:off x="1638300" y="388557"/>
                <a:ext cx="457200" cy="1371600"/>
              </a:xfrm>
              <a:prstGeom prst="rect">
                <a:avLst/>
              </a:prstGeom>
              <a:gradFill>
                <a:gsLst>
                  <a:gs pos="0">
                    <a:schemeClr val="bg1">
                      <a:lumMod val="95000"/>
                    </a:schemeClr>
                  </a:gs>
                  <a:gs pos="39000">
                    <a:schemeClr val="bg1">
                      <a:lumMod val="95000"/>
                    </a:schemeClr>
                  </a:gs>
                  <a:gs pos="40000">
                    <a:schemeClr val="accent6">
                      <a:lumMod val="40000"/>
                      <a:lumOff val="60000"/>
                    </a:schemeClr>
                  </a:gs>
                  <a:gs pos="100000">
                    <a:schemeClr val="accent6">
                      <a:lumMod val="60000"/>
                      <a:lumOff val="40000"/>
                    </a:schemeClr>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59" name="Rectangle 2358">
                <a:extLst>
                  <a:ext uri="{FF2B5EF4-FFF2-40B4-BE49-F238E27FC236}">
                    <a16:creationId xmlns:a16="http://schemas.microsoft.com/office/drawing/2014/main" id="{00000000-0008-0000-0200-000037090000}"/>
                  </a:ext>
                </a:extLst>
              </xdr:cNvPr>
              <xdr:cNvSpPr/>
            </xdr:nvSpPr>
            <xdr:spPr>
              <a:xfrm>
                <a:off x="2293620" y="388557"/>
                <a:ext cx="457200" cy="1371600"/>
              </a:xfrm>
              <a:prstGeom prst="rect">
                <a:avLst/>
              </a:prstGeom>
              <a:gradFill>
                <a:gsLst>
                  <a:gs pos="0">
                    <a:schemeClr val="bg1">
                      <a:lumMod val="95000"/>
                    </a:schemeClr>
                  </a:gs>
                  <a:gs pos="29000">
                    <a:schemeClr val="bg1">
                      <a:lumMod val="95000"/>
                    </a:schemeClr>
                  </a:gs>
                  <a:gs pos="30000">
                    <a:srgbClr val="F0CDFF"/>
                  </a:gs>
                  <a:gs pos="100000">
                    <a:srgbClr val="D7B9FF"/>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60" name="Straight Connector 2359">
                <a:extLst>
                  <a:ext uri="{FF2B5EF4-FFF2-40B4-BE49-F238E27FC236}">
                    <a16:creationId xmlns:a16="http://schemas.microsoft.com/office/drawing/2014/main" id="{00000000-0008-0000-0200-000038090000}"/>
                  </a:ext>
                </a:extLst>
              </xdr:cNvPr>
              <xdr:cNvCxnSpPr/>
            </xdr:nvCxnSpPr>
            <xdr:spPr>
              <a:xfrm flipV="1">
                <a:off x="2094288" y="79982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55" name="Speech Bubble: Oval 2354">
            <a:extLst>
              <a:ext uri="{FF2B5EF4-FFF2-40B4-BE49-F238E27FC236}">
                <a16:creationId xmlns:a16="http://schemas.microsoft.com/office/drawing/2014/main" id="{00000000-0008-0000-0200-000033090000}"/>
              </a:ext>
            </a:extLst>
          </xdr:cNvPr>
          <xdr:cNvSpPr/>
        </xdr:nvSpPr>
        <xdr:spPr>
          <a:xfrm flipH="1">
            <a:off x="15792437" y="104350839"/>
            <a:ext cx="3360336" cy="915778"/>
          </a:xfrm>
          <a:prstGeom prst="wedgeEllipseCallout">
            <a:avLst>
              <a:gd name="adj1" fmla="val -24638"/>
              <a:gd name="adj2" fmla="val 100778"/>
            </a:avLst>
          </a:prstGeom>
          <a:solidFill>
            <a:srgbClr val="C00000"/>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7</xdr:col>
      <xdr:colOff>169815</xdr:colOff>
      <xdr:row>462</xdr:row>
      <xdr:rowOff>1131</xdr:rowOff>
    </xdr:from>
    <xdr:to>
      <xdr:col>12</xdr:col>
      <xdr:colOff>436515</xdr:colOff>
      <xdr:row>465</xdr:row>
      <xdr:rowOff>92571</xdr:rowOff>
    </xdr:to>
    <xdr:sp macro="" textlink="">
      <xdr:nvSpPr>
        <xdr:cNvPr id="1598" name="Government serves best when it serves least.">
          <a:extLst>
            <a:ext uri="{FF2B5EF4-FFF2-40B4-BE49-F238E27FC236}">
              <a16:creationId xmlns:a16="http://schemas.microsoft.com/office/drawing/2014/main" id="{00000000-0008-0000-0200-00003E060000}"/>
            </a:ext>
          </a:extLst>
        </xdr:cNvPr>
        <xdr:cNvSpPr txBox="1">
          <a:spLocks/>
        </xdr:cNvSpPr>
      </xdr:nvSpPr>
      <xdr:spPr>
        <a:xfrm>
          <a:off x="3263535" y="93833811"/>
          <a:ext cx="2743200" cy="6172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b="1" spc="-10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"Government serves best </a:t>
          </a: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when it serves least."</a:t>
          </a:r>
        </a:p>
      </xdr:txBody>
    </xdr:sp>
    <xdr:clientData/>
  </xdr:twoCellAnchor>
  <xdr:twoCellAnchor>
    <xdr:from>
      <xdr:col>1</xdr:col>
      <xdr:colOff>45719</xdr:colOff>
      <xdr:row>462</xdr:row>
      <xdr:rowOff>15240</xdr:rowOff>
    </xdr:from>
    <xdr:to>
      <xdr:col>6</xdr:col>
      <xdr:colOff>312419</xdr:colOff>
      <xdr:row>465</xdr:row>
      <xdr:rowOff>130670</xdr:rowOff>
    </xdr:to>
    <xdr:sp macro="" textlink="">
      <xdr:nvSpPr>
        <xdr:cNvPr id="1599" name="Government exists as a force for good.">
          <a:extLst>
            <a:ext uri="{FF2B5EF4-FFF2-40B4-BE49-F238E27FC236}">
              <a16:creationId xmlns:a16="http://schemas.microsoft.com/office/drawing/2014/main" id="{00000000-0008-0000-0200-00003F060000}"/>
            </a:ext>
          </a:extLst>
        </xdr:cNvPr>
        <xdr:cNvSpPr txBox="1">
          <a:spLocks/>
        </xdr:cNvSpPr>
      </xdr:nvSpPr>
      <xdr:spPr>
        <a:xfrm>
          <a:off x="167639" y="93847920"/>
          <a:ext cx="2743200" cy="64121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a:t>
          </a:r>
          <a:r>
            <a:rPr lang="en-US" sz="1800" b="1" kern="1200" spc="-3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Government must serve</a:t>
          </a:r>
          <a:r>
            <a:rPr lang="en-US" sz="1800" b="1"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 </a:t>
          </a:r>
          <a:r>
            <a:rPr lang="en-US" sz="1800" b="1" kern="1200" spc="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the least advantaged</a:t>
          </a: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a:t>
          </a:r>
        </a:p>
      </xdr:txBody>
    </xdr:sp>
    <xdr:clientData/>
  </xdr:twoCellAnchor>
  <xdr:twoCellAnchor>
    <xdr:from>
      <xdr:col>0</xdr:col>
      <xdr:colOff>93616</xdr:colOff>
      <xdr:row>484</xdr:row>
      <xdr:rowOff>38100</xdr:rowOff>
    </xdr:from>
    <xdr:to>
      <xdr:col>5</xdr:col>
      <xdr:colOff>367936</xdr:colOff>
      <xdr:row>491</xdr:row>
      <xdr:rowOff>22860</xdr:rowOff>
    </xdr:to>
    <xdr:sp macro="" textlink="">
      <xdr:nvSpPr>
        <xdr:cNvPr id="1600" name="You believe whatever serves your needs.">
          <a:extLst>
            <a:ext uri="{FF2B5EF4-FFF2-40B4-BE49-F238E27FC236}">
              <a16:creationId xmlns:a16="http://schemas.microsoft.com/office/drawing/2014/main" id="{00000000-0008-0000-0200-000040060000}"/>
            </a:ext>
          </a:extLst>
        </xdr:cNvPr>
        <xdr:cNvSpPr txBox="1">
          <a:spLocks/>
        </xdr:cNvSpPr>
      </xdr:nvSpPr>
      <xdr:spPr>
        <a:xfrm>
          <a:off x="93616" y="89214960"/>
          <a:ext cx="2377440" cy="12115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spc="-5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Why rely on government to protect the vulnerable from the many historical forms of destructive exploitation? Because</a:t>
          </a:r>
          <a:r>
            <a:rPr lang="en-US" sz="1400" b="0"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it best </a:t>
          </a:r>
          <a:r>
            <a:rPr lang="en-US" sz="1400" b="1" i="1"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relieves</a:t>
          </a:r>
          <a:r>
            <a:rPr lang="en-US" sz="1400" b="0"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less resolved</a:t>
          </a:r>
          <a:r>
            <a:rPr lang="en-US" sz="1400" b="0" spc="-50" baseline="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a:t>
          </a:r>
          <a:r>
            <a:rPr lang="en-US" sz="1400" b="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social-needs</a:t>
          </a:r>
          <a:r>
            <a:rPr lang="en-US" sz="1400" b="0" spc="-50" baseline="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t>
          </a:r>
          <a:endParaRPr lang="en-US" sz="1400" b="0" spc="-5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457200</xdr:colOff>
      <xdr:row>484</xdr:row>
      <xdr:rowOff>38100</xdr:rowOff>
    </xdr:from>
    <xdr:to>
      <xdr:col>13</xdr:col>
      <xdr:colOff>0</xdr:colOff>
      <xdr:row>491</xdr:row>
      <xdr:rowOff>27432</xdr:rowOff>
    </xdr:to>
    <xdr:sp macro="" textlink="">
      <xdr:nvSpPr>
        <xdr:cNvPr id="1601" name="You believe whatever serves your needs.">
          <a:extLst>
            <a:ext uri="{FF2B5EF4-FFF2-40B4-BE49-F238E27FC236}">
              <a16:creationId xmlns:a16="http://schemas.microsoft.com/office/drawing/2014/main" id="{00000000-0008-0000-0200-000041060000}"/>
            </a:ext>
          </a:extLst>
        </xdr:cNvPr>
        <xdr:cNvSpPr txBox="1">
          <a:spLocks/>
        </xdr:cNvSpPr>
      </xdr:nvSpPr>
      <xdr:spPr>
        <a:xfrm>
          <a:off x="3550920" y="89214960"/>
          <a:ext cx="2514600" cy="121615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Why </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rely on government only </a:t>
          </a:r>
          <a:r>
            <a:rPr lang="en-US" sz="1400" b="0" spc="-70" baseline="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for the few services we cannot</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provide for ourselves, such as national defense? Because it </a:t>
          </a:r>
          <a:r>
            <a:rPr lang="en-US" sz="1400" b="1" i="1"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guards</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traditionally more resolved </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social-needs</a:t>
          </a:r>
          <a:r>
            <a:rPr lang="en-US" sz="1400" b="0" spc="-50">
              <a:ln>
                <a:solidFill>
                  <a:srgbClr val="C00000"/>
                </a:solidFill>
              </a:ln>
              <a:solidFill>
                <a:srgbClr val="FF505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2176</xdr:colOff>
      <xdr:row>466</xdr:row>
      <xdr:rowOff>35557</xdr:rowOff>
    </xdr:from>
    <xdr:to>
      <xdr:col>6</xdr:col>
      <xdr:colOff>268876</xdr:colOff>
      <xdr:row>468</xdr:row>
      <xdr:rowOff>142237</xdr:rowOff>
    </xdr:to>
    <xdr:sp macro="" textlink="">
      <xdr:nvSpPr>
        <xdr:cNvPr id="2718" name="You believe whatever serves your needs.">
          <a:extLst>
            <a:ext uri="{FF2B5EF4-FFF2-40B4-BE49-F238E27FC236}">
              <a16:creationId xmlns:a16="http://schemas.microsoft.com/office/drawing/2014/main" id="{00000000-0008-0000-0200-00009E0A0000}"/>
            </a:ext>
          </a:extLst>
        </xdr:cNvPr>
        <xdr:cNvSpPr txBox="1">
          <a:spLocks/>
        </xdr:cNvSpPr>
      </xdr:nvSpPr>
      <xdr:spPr>
        <a:xfrm>
          <a:off x="124096" y="94569277"/>
          <a:ext cx="2743200" cy="457200"/>
        </a:xfrm>
        <a:prstGeom prst="rect">
          <a:avLst/>
        </a:prstGeom>
        <a:effectLst>
          <a:glow rad="127000">
            <a:schemeClr val="tx1"/>
          </a:glow>
        </a:effectLst>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In a humanly dense</a:t>
          </a:r>
          <a:r>
            <a:rPr lang="en-US" sz="1400" b="1" spc="-50" baseline="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 setting, such as urban centers, </a:t>
          </a:r>
          <a:endPar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7</xdr:col>
      <xdr:colOff>205740</xdr:colOff>
      <xdr:row>466</xdr:row>
      <xdr:rowOff>37786</xdr:rowOff>
    </xdr:from>
    <xdr:to>
      <xdr:col>12</xdr:col>
      <xdr:colOff>472440</xdr:colOff>
      <xdr:row>468</xdr:row>
      <xdr:rowOff>144466</xdr:rowOff>
    </xdr:to>
    <xdr:sp macro="" textlink="">
      <xdr:nvSpPr>
        <xdr:cNvPr id="2719" name="You believe whatever serves your needs.">
          <a:extLst>
            <a:ext uri="{FF2B5EF4-FFF2-40B4-BE49-F238E27FC236}">
              <a16:creationId xmlns:a16="http://schemas.microsoft.com/office/drawing/2014/main" id="{00000000-0008-0000-0200-00009F0A0000}"/>
            </a:ext>
          </a:extLst>
        </xdr:cNvPr>
        <xdr:cNvSpPr txBox="1">
          <a:spLocks/>
        </xdr:cNvSpPr>
      </xdr:nvSpPr>
      <xdr:spPr>
        <a:xfrm>
          <a:off x="3299460" y="94571506"/>
          <a:ext cx="2743200"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1" kern="1200"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In a humanly sparse setting, such as rural villages,</a:t>
          </a:r>
          <a:r>
            <a:rPr lang="en-US" sz="1400" b="1" kern="1200" spc="-50" baseline="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 </a:t>
          </a:r>
          <a:endPar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7</xdr:col>
      <xdr:colOff>171450</xdr:colOff>
      <xdr:row>469</xdr:row>
      <xdr:rowOff>14926</xdr:rowOff>
    </xdr:from>
    <xdr:to>
      <xdr:col>10</xdr:col>
      <xdr:colOff>381000</xdr:colOff>
      <xdr:row>473</xdr:row>
      <xdr:rowOff>45406</xdr:rowOff>
    </xdr:to>
    <xdr:sp macro="" textlink="">
      <xdr:nvSpPr>
        <xdr:cNvPr id="1596" name="You believe whatever serves your needs.">
          <a:extLst>
            <a:ext uri="{FF2B5EF4-FFF2-40B4-BE49-F238E27FC236}">
              <a16:creationId xmlns:a16="http://schemas.microsoft.com/office/drawing/2014/main" id="{00000000-0008-0000-0200-00003C060000}"/>
            </a:ext>
          </a:extLst>
        </xdr:cNvPr>
        <xdr:cNvSpPr txBox="1">
          <a:spLocks/>
        </xdr:cNvSpPr>
      </xdr:nvSpPr>
      <xdr:spPr>
        <a:xfrm>
          <a:off x="3200400" y="93131326"/>
          <a:ext cx="1666875" cy="7162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8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your situation makes it necessary </a:t>
          </a:r>
          <a:r>
            <a:rPr lang="en-US" sz="1400" b="0" kern="1200" spc="-5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to guard</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your resolved social-needs (like cohesion).</a:t>
          </a:r>
        </a:p>
      </xdr:txBody>
    </xdr:sp>
    <xdr:clientData/>
  </xdr:twoCellAnchor>
  <xdr:twoCellAnchor>
    <xdr:from>
      <xdr:col>3</xdr:col>
      <xdr:colOff>182880</xdr:colOff>
      <xdr:row>469</xdr:row>
      <xdr:rowOff>7306</xdr:rowOff>
    </xdr:from>
    <xdr:to>
      <xdr:col>6</xdr:col>
      <xdr:colOff>352425</xdr:colOff>
      <xdr:row>473</xdr:row>
      <xdr:rowOff>37786</xdr:rowOff>
    </xdr:to>
    <xdr:sp macro="" textlink="">
      <xdr:nvSpPr>
        <xdr:cNvPr id="1597" name="You believe whatever serves your needs.">
          <a:extLst>
            <a:ext uri="{FF2B5EF4-FFF2-40B4-BE49-F238E27FC236}">
              <a16:creationId xmlns:a16="http://schemas.microsoft.com/office/drawing/2014/main" id="{00000000-0008-0000-0200-00003D060000}"/>
            </a:ext>
          </a:extLst>
        </xdr:cNvPr>
        <xdr:cNvSpPr txBox="1">
          <a:spLocks/>
        </xdr:cNvSpPr>
      </xdr:nvSpPr>
      <xdr:spPr>
        <a:xfrm>
          <a:off x="1268730" y="93123706"/>
          <a:ext cx="1626870" cy="7162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kern="1200" spc="-5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your situation makes it difficult to fully</a:t>
          </a: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 resolve your social-needs (like inclusion).</a:t>
          </a:r>
        </a:p>
      </xdr:txBody>
    </xdr:sp>
    <xdr:clientData/>
  </xdr:twoCellAnchor>
  <xdr:twoCellAnchor>
    <xdr:from>
      <xdr:col>7</xdr:col>
      <xdr:colOff>388620</xdr:colOff>
      <xdr:row>473</xdr:row>
      <xdr:rowOff>68266</xdr:rowOff>
    </xdr:from>
    <xdr:to>
      <xdr:col>10</xdr:col>
      <xdr:colOff>365760</xdr:colOff>
      <xdr:row>483</xdr:row>
      <xdr:rowOff>144780</xdr:rowOff>
    </xdr:to>
    <xdr:sp macro="" textlink="">
      <xdr:nvSpPr>
        <xdr:cNvPr id="2372" name="You believe whatever serves your needs.">
          <a:extLst>
            <a:ext uri="{FF2B5EF4-FFF2-40B4-BE49-F238E27FC236}">
              <a16:creationId xmlns:a16="http://schemas.microsoft.com/office/drawing/2014/main" id="{00000000-0008-0000-0200-000044090000}"/>
            </a:ext>
          </a:extLst>
        </xdr:cNvPr>
        <xdr:cNvSpPr txBox="1">
          <a:spLocks/>
        </xdr:cNvSpPr>
      </xdr:nvSpPr>
      <xdr:spPr>
        <a:xfrm>
          <a:off x="3482340" y="95828806"/>
          <a:ext cx="1463040" cy="182911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As the </a:t>
          </a:r>
          <a:r>
            <a:rPr lang="en-US" sz="1400" b="0" kern="1200" spc="-70" baseline="0">
              <a:ln>
                <a:solidFill>
                  <a:srgbClr val="00B0F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wide-oriented</a:t>
          </a:r>
          <a:r>
            <a:rPr lang="en-US" sz="1400" b="0" kern="1200" spc="-7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expand the </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role of government to serve their prioritized need, it tends to detract from your more resolved social-needs at the more local level.</a:t>
          </a:r>
          <a:endParaRPr lang="en-US" sz="1400" b="0" spc="-5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3</xdr:col>
      <xdr:colOff>182880</xdr:colOff>
      <xdr:row>473</xdr:row>
      <xdr:rowOff>68266</xdr:rowOff>
    </xdr:from>
    <xdr:to>
      <xdr:col>6</xdr:col>
      <xdr:colOff>160020</xdr:colOff>
      <xdr:row>483</xdr:row>
      <xdr:rowOff>144466</xdr:rowOff>
    </xdr:to>
    <xdr:sp macro="" textlink="">
      <xdr:nvSpPr>
        <xdr:cNvPr id="2373" name="You believe whatever serves your needs.">
          <a:extLst>
            <a:ext uri="{FF2B5EF4-FFF2-40B4-BE49-F238E27FC236}">
              <a16:creationId xmlns:a16="http://schemas.microsoft.com/office/drawing/2014/main" id="{00000000-0008-0000-0200-000045090000}"/>
            </a:ext>
          </a:extLst>
        </xdr:cNvPr>
        <xdr:cNvSpPr txBox="1">
          <a:spLocks/>
        </xdr:cNvSpPr>
      </xdr:nvSpPr>
      <xdr:spPr>
        <a:xfrm>
          <a:off x="1295400" y="95828806"/>
          <a:ext cx="1463040" cy="1828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As the </a:t>
          </a:r>
          <a:r>
            <a:rPr lang="en-US" sz="1400" b="0" kern="1200" spc="-50" baseline="0">
              <a:ln>
                <a:solidFill>
                  <a:srgbClr val="FF0000"/>
                </a:solidFill>
              </a:ln>
              <a:solidFill>
                <a:srgbClr val="FF0000"/>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deep-oriented</a:t>
          </a: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 shrink the role of government to serve their prioritized need, it tends to detract from your less resolved social-needs at the societal level.</a:t>
          </a:r>
          <a:endParaRPr lang="en-US" sz="1400" b="0" spc="-5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2</xdr:col>
      <xdr:colOff>66711</xdr:colOff>
      <xdr:row>842</xdr:row>
      <xdr:rowOff>175259</xdr:rowOff>
    </xdr:from>
    <xdr:to>
      <xdr:col>11</xdr:col>
      <xdr:colOff>411481</xdr:colOff>
      <xdr:row>847</xdr:row>
      <xdr:rowOff>167639</xdr:rowOff>
    </xdr:to>
    <xdr:sp macro="" textlink="">
      <xdr:nvSpPr>
        <xdr:cNvPr id="2374" name="TextBox 2373">
          <a:extLst>
            <a:ext uri="{FF2B5EF4-FFF2-40B4-BE49-F238E27FC236}">
              <a16:creationId xmlns:a16="http://schemas.microsoft.com/office/drawing/2014/main" id="{00000000-0008-0000-0200-000046090000}"/>
            </a:ext>
          </a:extLst>
        </xdr:cNvPr>
        <xdr:cNvSpPr txBox="1"/>
      </xdr:nvSpPr>
      <xdr:spPr>
        <a:xfrm>
          <a:off x="683931" y="164066219"/>
          <a:ext cx="4802470" cy="868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Aft>
              <a:spcPts val="600"/>
            </a:spcAft>
          </a:pPr>
          <a:r>
            <a:rPr lang="en-US" sz="1200" baseline="0">
              <a:latin typeface="Tahoma" panose="020B0604030504040204" pitchFamily="34" charset="0"/>
              <a:ea typeface="Tahoma" panose="020B0604030504040204" pitchFamily="34" charset="0"/>
              <a:cs typeface="Tahoma" panose="020B0604030504040204" pitchFamily="34" charset="0"/>
            </a:rPr>
            <a:t>Political fighting can never apply to the core needs themselves. </a:t>
          </a:r>
        </a:p>
        <a:p>
          <a:pPr algn="ctr"/>
          <a:r>
            <a:rPr lang="en-US" sz="3200" b="1" baseline="0">
              <a:solidFill>
                <a:srgbClr val="3C1E5A"/>
              </a:solidFill>
              <a:latin typeface="Tahoma" panose="020B0604030504040204" pitchFamily="34" charset="0"/>
              <a:ea typeface="Tahoma" panose="020B0604030504040204" pitchFamily="34" charset="0"/>
              <a:cs typeface="Tahoma" panose="020B0604030504040204" pitchFamily="34" charset="0"/>
            </a:rPr>
            <a:t>On the one hand...</a:t>
          </a:r>
          <a:endParaRPr lang="en-US" sz="3200" baseline="0">
            <a:solidFill>
              <a:srgbClr val="3C1E5A"/>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152400</xdr:colOff>
      <xdr:row>848</xdr:row>
      <xdr:rowOff>114300</xdr:rowOff>
    </xdr:from>
    <xdr:to>
      <xdr:col>12</xdr:col>
      <xdr:colOff>190500</xdr:colOff>
      <xdr:row>862</xdr:row>
      <xdr:rowOff>60960</xdr:rowOff>
    </xdr:to>
    <xdr:grpSp>
      <xdr:nvGrpSpPr>
        <xdr:cNvPr id="21" name="Group 20">
          <a:extLst>
            <a:ext uri="{FF2B5EF4-FFF2-40B4-BE49-F238E27FC236}">
              <a16:creationId xmlns:a16="http://schemas.microsoft.com/office/drawing/2014/main" id="{00000000-0008-0000-0200-000015000000}"/>
            </a:ext>
          </a:extLst>
        </xdr:cNvPr>
        <xdr:cNvGrpSpPr/>
      </xdr:nvGrpSpPr>
      <xdr:grpSpPr>
        <a:xfrm>
          <a:off x="266700" y="165635940"/>
          <a:ext cx="5570220" cy="2400300"/>
          <a:chOff x="274320" y="165056820"/>
          <a:chExt cx="5486400" cy="2400300"/>
        </a:xfrm>
      </xdr:grpSpPr>
      <xdr:sp macro="" textlink="">
        <xdr:nvSpPr>
          <xdr:cNvPr id="20" name="Speech Bubble: Oval 19">
            <a:extLst>
              <a:ext uri="{FF2B5EF4-FFF2-40B4-BE49-F238E27FC236}">
                <a16:creationId xmlns:a16="http://schemas.microsoft.com/office/drawing/2014/main" id="{00000000-0008-0000-0200-000014000000}"/>
              </a:ext>
            </a:extLst>
          </xdr:cNvPr>
          <xdr:cNvSpPr/>
        </xdr:nvSpPr>
        <xdr:spPr>
          <a:xfrm>
            <a:off x="274320" y="16505682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87" name="Speech Bubble: Oval 1586">
            <a:extLst>
              <a:ext uri="{FF2B5EF4-FFF2-40B4-BE49-F238E27FC236}">
                <a16:creationId xmlns:a16="http://schemas.microsoft.com/office/drawing/2014/main" id="{00000000-0008-0000-0200-000033060000}"/>
              </a:ext>
            </a:extLst>
          </xdr:cNvPr>
          <xdr:cNvSpPr/>
        </xdr:nvSpPr>
        <xdr:spPr>
          <a:xfrm>
            <a:off x="274320" y="16628364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88" name="Speech Bubble: Oval 1587">
            <a:extLst>
              <a:ext uri="{FF2B5EF4-FFF2-40B4-BE49-F238E27FC236}">
                <a16:creationId xmlns:a16="http://schemas.microsoft.com/office/drawing/2014/main" id="{00000000-0008-0000-0200-000034060000}"/>
              </a:ext>
            </a:extLst>
          </xdr:cNvPr>
          <xdr:cNvSpPr/>
        </xdr:nvSpPr>
        <xdr:spPr>
          <a:xfrm flipH="1">
            <a:off x="274320" y="16566642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95" name="Speech Bubble: Oval 1594">
            <a:extLst>
              <a:ext uri="{FF2B5EF4-FFF2-40B4-BE49-F238E27FC236}">
                <a16:creationId xmlns:a16="http://schemas.microsoft.com/office/drawing/2014/main" id="{00000000-0008-0000-0200-00003B060000}"/>
              </a:ext>
            </a:extLst>
          </xdr:cNvPr>
          <xdr:cNvSpPr/>
        </xdr:nvSpPr>
        <xdr:spPr>
          <a:xfrm flipH="1">
            <a:off x="274320" y="166908480"/>
            <a:ext cx="5486400" cy="54864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grpSp>
    <xdr:clientData/>
  </xdr:twoCellAnchor>
  <xdr:twoCellAnchor>
    <xdr:from>
      <xdr:col>1</xdr:col>
      <xdr:colOff>15240</xdr:colOff>
      <xdr:row>848</xdr:row>
      <xdr:rowOff>153216</xdr:rowOff>
    </xdr:from>
    <xdr:to>
      <xdr:col>13</xdr:col>
      <xdr:colOff>15240</xdr:colOff>
      <xdr:row>869</xdr:row>
      <xdr:rowOff>130356</xdr:rowOff>
    </xdr:to>
    <xdr:sp macro="" textlink="">
      <xdr:nvSpPr>
        <xdr:cNvPr id="2375" name="TextBox 2374">
          <a:extLst>
            <a:ext uri="{FF2B5EF4-FFF2-40B4-BE49-F238E27FC236}">
              <a16:creationId xmlns:a16="http://schemas.microsoft.com/office/drawing/2014/main" id="{00000000-0008-0000-0200-000047090000}"/>
            </a:ext>
          </a:extLst>
        </xdr:cNvPr>
        <xdr:cNvSpPr txBox="1"/>
      </xdr:nvSpPr>
      <xdr:spPr>
        <a:xfrm>
          <a:off x="137160" y="156980436"/>
          <a:ext cx="5943600" cy="365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spc="-20" baseline="0">
              <a:ln>
                <a:solidFill>
                  <a:srgbClr val="FFC3F5"/>
                </a:solidFill>
              </a:ln>
              <a:solidFill>
                <a:srgbClr val="F0CDFF"/>
              </a:solidFill>
              <a:latin typeface="Verdana" panose="020B0604030504040204" pitchFamily="34" charset="0"/>
              <a:ea typeface="Verdana" panose="020B0604030504040204" pitchFamily="34" charset="0"/>
            </a:rPr>
            <a:t>"The hottest places in hell are reserved for those who, in times of great moral crisis, maintain their neutrality." </a:t>
          </a:r>
          <a:r>
            <a:rPr lang="en-US" sz="1400" spc="-20" baseline="0">
              <a:ln>
                <a:noFill/>
              </a:ln>
              <a:solidFill>
                <a:srgbClr val="E178FF"/>
              </a:solidFill>
              <a:latin typeface="Verdana" panose="020B0604030504040204" pitchFamily="34" charset="0"/>
              <a:ea typeface="Verdana" panose="020B0604030504040204" pitchFamily="34" charset="0"/>
            </a:rPr>
            <a:t>- </a:t>
          </a:r>
          <a:r>
            <a:rPr lang="en-US" sz="1400" i="1" spc="-20" baseline="0">
              <a:ln>
                <a:noFill/>
              </a:ln>
              <a:solidFill>
                <a:srgbClr val="E178FF"/>
              </a:solidFill>
              <a:latin typeface="Verdana" panose="020B0604030504040204" pitchFamily="34" charset="0"/>
              <a:ea typeface="Verdana" panose="020B0604030504040204" pitchFamily="34" charset="0"/>
            </a:rPr>
            <a:t>Dante Aligheiri</a:t>
          </a:r>
        </a:p>
        <a:p>
          <a:endParaRPr lang="en-US" sz="1200" baseline="0">
            <a:ln>
              <a:solidFill>
                <a:srgbClr val="FFC3F5"/>
              </a:solidFill>
            </a:ln>
            <a:solidFill>
              <a:srgbClr val="E178FF"/>
            </a:solidFill>
            <a:latin typeface="Verdana" panose="020B0604030504040204" pitchFamily="34" charset="0"/>
            <a:ea typeface="Verdana" panose="020B0604030504040204" pitchFamily="34" charset="0"/>
          </a:endParaRPr>
        </a:p>
        <a:p>
          <a:pPr lvl="1"/>
          <a:r>
            <a:rPr lang="en-US" sz="1400" baseline="0">
              <a:ln>
                <a:solidFill>
                  <a:srgbClr val="FFC3F5"/>
                </a:solidFill>
              </a:ln>
              <a:solidFill>
                <a:srgbClr val="F0CDFF"/>
              </a:solidFill>
              <a:latin typeface="Verdana" panose="020B0604030504040204" pitchFamily="34" charset="0"/>
              <a:ea typeface="Verdana" panose="020B0604030504040204" pitchFamily="34" charset="0"/>
            </a:rPr>
            <a:t>"Take sides. Neutrality helps the oppressor, never the victim." </a:t>
          </a:r>
          <a:r>
            <a:rPr lang="en-US" sz="1400" baseline="0">
              <a:ln>
                <a:noFill/>
              </a:ln>
              <a:solidFill>
                <a:srgbClr val="E178FF"/>
              </a:solidFill>
              <a:latin typeface="Verdana" panose="020B0604030504040204" pitchFamily="34" charset="0"/>
              <a:ea typeface="Verdana" panose="020B0604030504040204" pitchFamily="34" charset="0"/>
            </a:rPr>
            <a:t>- </a:t>
          </a:r>
          <a:r>
            <a:rPr lang="en-US" sz="1400" i="1" baseline="0">
              <a:ln>
                <a:noFill/>
              </a:ln>
              <a:solidFill>
                <a:srgbClr val="E178FF"/>
              </a:solidFill>
              <a:latin typeface="Verdana" panose="020B0604030504040204" pitchFamily="34" charset="0"/>
              <a:ea typeface="Verdana" panose="020B0604030504040204" pitchFamily="34" charset="0"/>
            </a:rPr>
            <a:t>Elie Eiesel</a:t>
          </a:r>
        </a:p>
        <a:p>
          <a:endParaRPr lang="en-US" sz="1200" baseline="0">
            <a:ln>
              <a:solidFill>
                <a:srgbClr val="FFC3F5"/>
              </a:solidFill>
            </a:ln>
            <a:solidFill>
              <a:srgbClr val="E178FF"/>
            </a:solidFill>
            <a:latin typeface="Verdana" panose="020B0604030504040204" pitchFamily="34" charset="0"/>
            <a:ea typeface="Verdana" panose="020B0604030504040204" pitchFamily="34" charset="0"/>
          </a:endParaRPr>
        </a:p>
        <a:p>
          <a:r>
            <a:rPr lang="en-US" sz="1400" baseline="0">
              <a:ln>
                <a:solidFill>
                  <a:srgbClr val="FFC3F5"/>
                </a:solidFill>
              </a:ln>
              <a:solidFill>
                <a:srgbClr val="F0CDFF"/>
              </a:solidFill>
              <a:latin typeface="Verdana" panose="020B0604030504040204" pitchFamily="34" charset="0"/>
              <a:ea typeface="Verdana" panose="020B0604030504040204" pitchFamily="34" charset="0"/>
            </a:rPr>
            <a:t>"If you are neutral in situations of injustice, you have chosen the side of the oppressor." </a:t>
          </a:r>
          <a:r>
            <a:rPr lang="en-US" sz="1400" baseline="0">
              <a:ln>
                <a:noFill/>
              </a:ln>
              <a:solidFill>
                <a:srgbClr val="E178FF"/>
              </a:solidFill>
              <a:latin typeface="Verdana" panose="020B0604030504040204" pitchFamily="34" charset="0"/>
              <a:ea typeface="Verdana" panose="020B0604030504040204" pitchFamily="34" charset="0"/>
            </a:rPr>
            <a:t>- </a:t>
          </a:r>
          <a:r>
            <a:rPr lang="en-US" sz="1400" i="1" baseline="0">
              <a:ln>
                <a:noFill/>
              </a:ln>
              <a:solidFill>
                <a:srgbClr val="E178FF"/>
              </a:solidFill>
              <a:latin typeface="Verdana" panose="020B0604030504040204" pitchFamily="34" charset="0"/>
              <a:ea typeface="Verdana" panose="020B0604030504040204" pitchFamily="34" charset="0"/>
            </a:rPr>
            <a:t>Desmond Tutu</a:t>
          </a:r>
        </a:p>
        <a:p>
          <a:endParaRPr lang="en-US" sz="1400" baseline="0">
            <a:ln>
              <a:solidFill>
                <a:srgbClr val="FFC3F5"/>
              </a:solidFill>
            </a:ln>
            <a:solidFill>
              <a:srgbClr val="E178FF"/>
            </a:solidFill>
            <a:latin typeface="Verdana" panose="020B0604030504040204" pitchFamily="34" charset="0"/>
            <a:ea typeface="Verdana" panose="020B0604030504040204" pitchFamily="34" charset="0"/>
          </a:endParaRPr>
        </a:p>
        <a:p>
          <a:pPr lvl="1"/>
          <a:r>
            <a:rPr lang="en-US" sz="1400" spc="-20" baseline="0">
              <a:ln>
                <a:solidFill>
                  <a:srgbClr val="FFC3F5"/>
                </a:solidFill>
              </a:ln>
              <a:solidFill>
                <a:srgbClr val="F0CDFF"/>
              </a:solidFill>
              <a:latin typeface="Verdana" panose="020B0604030504040204" pitchFamily="34" charset="0"/>
              <a:ea typeface="Verdana" panose="020B0604030504040204" pitchFamily="34" charset="0"/>
            </a:rPr>
            <a:t>"Neutral men are the devils' allies." </a:t>
          </a:r>
          <a:r>
            <a:rPr lang="en-US" sz="1400" spc="-20" baseline="0">
              <a:ln>
                <a:noFill/>
              </a:ln>
              <a:solidFill>
                <a:srgbClr val="E178FF"/>
              </a:solidFill>
              <a:latin typeface="Verdana" panose="020B0604030504040204" pitchFamily="34" charset="0"/>
              <a:ea typeface="Verdana" panose="020B0604030504040204" pitchFamily="34" charset="0"/>
            </a:rPr>
            <a:t>- </a:t>
          </a:r>
          <a:r>
            <a:rPr lang="en-US" sz="1400" i="1" spc="-20" baseline="0">
              <a:ln>
                <a:noFill/>
              </a:ln>
              <a:solidFill>
                <a:srgbClr val="E178FF"/>
              </a:solidFill>
              <a:latin typeface="Verdana" panose="020B0604030504040204" pitchFamily="34" charset="0"/>
              <a:ea typeface="Verdana" panose="020B0604030504040204" pitchFamily="34" charset="0"/>
            </a:rPr>
            <a:t>Edwin Hubbel Chapin</a:t>
          </a:r>
        </a:p>
        <a:p>
          <a:endParaRPr lang="en-US" sz="1400" baseline="0">
            <a:solidFill>
              <a:srgbClr val="A0FFCD"/>
            </a:solidFill>
            <a:latin typeface="Verdana" panose="020B0604030504040204" pitchFamily="34" charset="0"/>
            <a:ea typeface="Verdana" panose="020B0604030504040204" pitchFamily="34" charset="0"/>
          </a:endParaRPr>
        </a:p>
        <a:p>
          <a:pPr algn="ctr">
            <a:spcBef>
              <a:spcPts val="1200"/>
            </a:spcBef>
            <a:spcAft>
              <a:spcPts val="600"/>
            </a:spcAft>
          </a:pPr>
          <a:r>
            <a:rPr lang="en-US" sz="3200" b="1" baseline="0">
              <a:solidFill>
                <a:srgbClr val="A0FFCD"/>
              </a:solidFill>
              <a:latin typeface="Verdana" panose="020B0604030504040204" pitchFamily="34" charset="0"/>
              <a:ea typeface="Verdana" panose="020B0604030504040204" pitchFamily="34" charset="0"/>
              <a:cs typeface="Arial" panose="020B0604020202020204" pitchFamily="34" charset="0"/>
            </a:rPr>
            <a:t>HOWEVER...</a:t>
          </a:r>
        </a:p>
        <a:p>
          <a:pPr algn="ctr"/>
          <a:r>
            <a:rPr lang="en-US" sz="1400" b="1" spc="80" baseline="0">
              <a:solidFill>
                <a:srgbClr val="A0FFCD"/>
              </a:solidFill>
              <a:latin typeface="Verdana" panose="020B0604030504040204" pitchFamily="34" charset="0"/>
              <a:ea typeface="Verdana" panose="020B0604030504040204" pitchFamily="34" charset="0"/>
              <a:cs typeface="Arial" panose="020B0604020202020204" pitchFamily="34" charset="0"/>
            </a:rPr>
            <a:t>Taking a side against what another </a:t>
          </a:r>
          <a:r>
            <a:rPr lang="en-US" sz="1400" b="1" i="1" spc="80" baseline="0">
              <a:ln>
                <a:solidFill>
                  <a:srgbClr val="A0FFCD"/>
                </a:solidFill>
              </a:ln>
              <a:solidFill>
                <a:srgbClr val="A0FFCD"/>
              </a:solidFill>
              <a:latin typeface="Verdana" panose="020B0604030504040204" pitchFamily="34" charset="0"/>
              <a:ea typeface="Verdana" panose="020B0604030504040204" pitchFamily="34" charset="0"/>
              <a:cs typeface="Arial" panose="020B0604020202020204" pitchFamily="34" charset="0"/>
            </a:rPr>
            <a:t>needs</a:t>
          </a:r>
          <a:r>
            <a:rPr lang="en-US" sz="1400" b="1" spc="80" baseline="0">
              <a:solidFill>
                <a:srgbClr val="A0FFCD"/>
              </a:solidFill>
              <a:latin typeface="Verdana" panose="020B0604030504040204" pitchFamily="34" charset="0"/>
              <a:ea typeface="Verdana" panose="020B0604030504040204" pitchFamily="34" charset="0"/>
              <a:cs typeface="Arial" panose="020B0604020202020204" pitchFamily="34" charset="0"/>
            </a:rPr>
            <a:t> does not</a:t>
          </a:r>
          <a:r>
            <a:rPr lang="en-US" sz="1400" b="1" baseline="0">
              <a:solidFill>
                <a:srgbClr val="A0FFCD"/>
              </a:solidFill>
              <a:latin typeface="Verdana" panose="020B0604030504040204" pitchFamily="34" charset="0"/>
              <a:ea typeface="Verdana" panose="020B0604030504040204" pitchFamily="34" charset="0"/>
              <a:cs typeface="Arial" panose="020B0604020202020204" pitchFamily="34" charset="0"/>
            </a:rPr>
            <a:t> extinguish moral conflict, but enflames it</a:t>
          </a:r>
          <a:r>
            <a:rPr lang="en-US" sz="1400" baseline="0">
              <a:solidFill>
                <a:srgbClr val="A0FFCD"/>
              </a:solidFill>
              <a:latin typeface="Verdana" panose="020B0604030504040204" pitchFamily="34" charset="0"/>
              <a:ea typeface="Verdana" panose="020B0604030504040204" pitchFamily="34" charset="0"/>
              <a:cs typeface="Arial" panose="020B0604020202020204" pitchFamily="34" charset="0"/>
            </a:rPr>
            <a:t>. - Steph Turner</a:t>
          </a:r>
        </a:p>
      </xdr:txBody>
    </xdr:sp>
    <xdr:clientData/>
  </xdr:twoCellAnchor>
  <xdr:twoCellAnchor>
    <xdr:from>
      <xdr:col>2</xdr:col>
      <xdr:colOff>373379</xdr:colOff>
      <xdr:row>826</xdr:row>
      <xdr:rowOff>106680</xdr:rowOff>
    </xdr:from>
    <xdr:to>
      <xdr:col>11</xdr:col>
      <xdr:colOff>304799</xdr:colOff>
      <xdr:row>841</xdr:row>
      <xdr:rowOff>3810</xdr:rowOff>
    </xdr:to>
    <xdr:sp macro="" textlink="">
      <xdr:nvSpPr>
        <xdr:cNvPr id="1586" name="Government exists as a force for good.">
          <a:extLst>
            <a:ext uri="{FF2B5EF4-FFF2-40B4-BE49-F238E27FC236}">
              <a16:creationId xmlns:a16="http://schemas.microsoft.com/office/drawing/2014/main" id="{00000000-0008-0000-0200-000032060000}"/>
            </a:ext>
          </a:extLst>
        </xdr:cNvPr>
        <xdr:cNvSpPr txBox="1">
          <a:spLocks/>
        </xdr:cNvSpPr>
      </xdr:nvSpPr>
      <xdr:spPr>
        <a:xfrm>
          <a:off x="973454" y="158345505"/>
          <a:ext cx="4303395" cy="24688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800" b="1" i="1">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So</a:t>
          </a:r>
          <a:r>
            <a:rPr lang="en-US" sz="1800" b="1" i="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what </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if you oppose those who oppose you. Anyone can be defensive and wait for the others to make the first move.</a:t>
          </a:r>
        </a:p>
        <a:p>
          <a:pPr marL="0" indent="0" algn="l">
            <a:lnSpc>
              <a:spcPct val="100000"/>
            </a:lnSpc>
            <a:spcBef>
              <a:spcPts val="1200"/>
            </a:spcBef>
            <a:buNone/>
          </a:pP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Be </a:t>
          </a:r>
          <a:r>
            <a:rPr lang="en-US" sz="1800" b="1" baseline="0">
              <a:gradFill flip="none" rotWithShape="1">
                <a:gsLst>
                  <a:gs pos="0">
                    <a:srgbClr val="A0FFCD">
                      <a:shade val="30000"/>
                      <a:satMod val="115000"/>
                    </a:srgbClr>
                  </a:gs>
                  <a:gs pos="50000">
                    <a:srgbClr val="A0FFCD">
                      <a:shade val="67500"/>
                      <a:satMod val="115000"/>
                    </a:srgbClr>
                  </a:gs>
                  <a:gs pos="100000">
                    <a:srgbClr val="A0FFCD">
                      <a:shade val="100000"/>
                      <a:satMod val="115000"/>
                    </a:srgbClr>
                  </a:gs>
                </a:gsLst>
                <a:lin ang="16200000" scaled="1"/>
                <a:tileRect/>
              </a:gra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remarkable</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by </a:t>
          </a:r>
          <a:r>
            <a:rPr lang="en-US" sz="1800" b="1" i="1" baseline="0">
              <a:solidFill>
                <a:srgbClr val="A0FFCD"/>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you</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moving  first. Offer what </a:t>
          </a:r>
          <a:r>
            <a:rPr lang="en-US" sz="1800" b="1" i="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you</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can to those who politically oppose you. We dare you to be great!</a:t>
          </a:r>
          <a:endParaRPr lang="en-US" sz="18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endParaRPr>
        </a:p>
      </xdr:txBody>
    </xdr:sp>
    <xdr:clientData/>
  </xdr:twoCellAnchor>
  <xdr:twoCellAnchor>
    <xdr:from>
      <xdr:col>1</xdr:col>
      <xdr:colOff>167640</xdr:colOff>
      <xdr:row>901</xdr:row>
      <xdr:rowOff>45720</xdr:rowOff>
    </xdr:from>
    <xdr:to>
      <xdr:col>12</xdr:col>
      <xdr:colOff>388620</xdr:colOff>
      <xdr:row>917</xdr:row>
      <xdr:rowOff>76200</xdr:rowOff>
    </xdr:to>
    <xdr:grpSp>
      <xdr:nvGrpSpPr>
        <xdr:cNvPr id="11" name="Group 10">
          <a:extLst>
            <a:ext uri="{FF2B5EF4-FFF2-40B4-BE49-F238E27FC236}">
              <a16:creationId xmlns:a16="http://schemas.microsoft.com/office/drawing/2014/main" id="{00000000-0008-0000-0200-00000B000000}"/>
            </a:ext>
          </a:extLst>
        </xdr:cNvPr>
        <xdr:cNvGrpSpPr/>
      </xdr:nvGrpSpPr>
      <xdr:grpSpPr>
        <a:xfrm>
          <a:off x="281940" y="175061880"/>
          <a:ext cx="5753100" cy="2834640"/>
          <a:chOff x="289560" y="174879000"/>
          <a:chExt cx="5669280" cy="2834640"/>
        </a:xfrm>
      </xdr:grpSpPr>
      <xdr:sp macro="" textlink="">
        <xdr:nvSpPr>
          <xdr:cNvPr id="54" name="Rectangle: Rounded Corners 53">
            <a:extLst>
              <a:ext uri="{FF2B5EF4-FFF2-40B4-BE49-F238E27FC236}">
                <a16:creationId xmlns:a16="http://schemas.microsoft.com/office/drawing/2014/main" id="{00000000-0008-0000-0200-000036000000}"/>
              </a:ext>
            </a:extLst>
          </xdr:cNvPr>
          <xdr:cNvSpPr/>
        </xdr:nvSpPr>
        <xdr:spPr>
          <a:xfrm>
            <a:off x="289560" y="174879000"/>
            <a:ext cx="5669280" cy="2834640"/>
          </a:xfrm>
          <a:prstGeom prst="round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bIns="0" rtlCol="0" anchor="b"/>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b="1" baseline="0">
                <a:solidFill>
                  <a:srgbClr val="F5D2FF"/>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Wellness is psychosocial</a:t>
            </a:r>
            <a:r>
              <a:rPr lang="en-US" sz="1200" b="1" baseline="0">
                <a:solidFill>
                  <a:srgbClr val="E178FF"/>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grpSp>
        <xdr:nvGrpSpPr>
          <xdr:cNvPr id="25" name="Group 24">
            <a:extLst>
              <a:ext uri="{FF2B5EF4-FFF2-40B4-BE49-F238E27FC236}">
                <a16:creationId xmlns:a16="http://schemas.microsoft.com/office/drawing/2014/main" id="{00000000-0008-0000-0200-000019000000}"/>
              </a:ext>
            </a:extLst>
          </xdr:cNvPr>
          <xdr:cNvGrpSpPr/>
        </xdr:nvGrpSpPr>
        <xdr:grpSpPr>
          <a:xfrm>
            <a:off x="326877" y="175104908"/>
            <a:ext cx="5577759" cy="1976569"/>
            <a:chOff x="6598137" y="128211428"/>
            <a:chExt cx="5577759" cy="1976569"/>
          </a:xfrm>
        </xdr:grpSpPr>
        <xdr:grpSp>
          <xdr:nvGrpSpPr>
            <xdr:cNvPr id="1651" name="Group 1650">
              <a:extLst>
                <a:ext uri="{FF2B5EF4-FFF2-40B4-BE49-F238E27FC236}">
                  <a16:creationId xmlns:a16="http://schemas.microsoft.com/office/drawing/2014/main" id="{00000000-0008-0000-0200-000073060000}"/>
                </a:ext>
              </a:extLst>
            </xdr:cNvPr>
            <xdr:cNvGrpSpPr/>
          </xdr:nvGrpSpPr>
          <xdr:grpSpPr>
            <a:xfrm>
              <a:off x="6643082" y="129775408"/>
              <a:ext cx="5480282" cy="412589"/>
              <a:chOff x="6403140" y="11490406"/>
              <a:chExt cx="2765483" cy="386211"/>
            </a:xfrm>
            <a:effectLst>
              <a:outerShdw blurRad="63500" sx="102000" sy="102000" algn="ctr" rotWithShape="0">
                <a:prstClr val="black">
                  <a:alpha val="40000"/>
                </a:prstClr>
              </a:outerShdw>
            </a:effectLst>
          </xdr:grpSpPr>
          <xdr:sp macro="" textlink="">
            <xdr:nvSpPr>
              <xdr:cNvPr id="1652" name="Right Brace 1651">
                <a:extLst>
                  <a:ext uri="{FF2B5EF4-FFF2-40B4-BE49-F238E27FC236}">
                    <a16:creationId xmlns:a16="http://schemas.microsoft.com/office/drawing/2014/main" id="{00000000-0008-0000-0200-000074060000}"/>
                  </a:ext>
                </a:extLst>
              </xdr:cNvPr>
              <xdr:cNvSpPr/>
            </xdr:nvSpPr>
            <xdr:spPr>
              <a:xfrm rot="5400000">
                <a:off x="7693286" y="10870572"/>
                <a:ext cx="182880" cy="1614995"/>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53" name="Right Bracket 1652">
                <a:extLst>
                  <a:ext uri="{FF2B5EF4-FFF2-40B4-BE49-F238E27FC236}">
                    <a16:creationId xmlns:a16="http://schemas.microsoft.com/office/drawing/2014/main" id="{00000000-0008-0000-0200-000075060000}"/>
                  </a:ext>
                </a:extLst>
              </xdr:cNvPr>
              <xdr:cNvSpPr/>
            </xdr:nvSpPr>
            <xdr:spPr>
              <a:xfrm rot="5400000">
                <a:off x="6938861" y="10957479"/>
                <a:ext cx="82127" cy="115357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54" name="Right Bracket 1653">
                <a:extLst>
                  <a:ext uri="{FF2B5EF4-FFF2-40B4-BE49-F238E27FC236}">
                    <a16:creationId xmlns:a16="http://schemas.microsoft.com/office/drawing/2014/main" id="{00000000-0008-0000-0200-000076060000}"/>
                  </a:ext>
                </a:extLst>
              </xdr:cNvPr>
              <xdr:cNvSpPr/>
            </xdr:nvSpPr>
            <xdr:spPr>
              <a:xfrm rot="5400000">
                <a:off x="8550773" y="10954684"/>
                <a:ext cx="82127" cy="1153572"/>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55" name="Flowchart: Delay 1654">
                <a:extLst>
                  <a:ext uri="{FF2B5EF4-FFF2-40B4-BE49-F238E27FC236}">
                    <a16:creationId xmlns:a16="http://schemas.microsoft.com/office/drawing/2014/main" id="{00000000-0008-0000-0200-00007706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1894" name="Group 1893">
              <a:extLst>
                <a:ext uri="{FF2B5EF4-FFF2-40B4-BE49-F238E27FC236}">
                  <a16:creationId xmlns:a16="http://schemas.microsoft.com/office/drawing/2014/main" id="{00000000-0008-0000-0200-000066070000}"/>
                </a:ext>
              </a:extLst>
            </xdr:cNvPr>
            <xdr:cNvGrpSpPr/>
          </xdr:nvGrpSpPr>
          <xdr:grpSpPr>
            <a:xfrm>
              <a:off x="6598137" y="128211428"/>
              <a:ext cx="5577759" cy="1659837"/>
              <a:chOff x="5173197" y="1094588"/>
              <a:chExt cx="5577759" cy="1659837"/>
            </a:xfrm>
            <a:noFill/>
          </xdr:grpSpPr>
          <xdr:sp macro="" textlink="">
            <xdr:nvSpPr>
              <xdr:cNvPr id="1895" name="TextBox 1894">
                <a:extLst>
                  <a:ext uri="{FF2B5EF4-FFF2-40B4-BE49-F238E27FC236}">
                    <a16:creationId xmlns:a16="http://schemas.microsoft.com/office/drawing/2014/main" id="{00000000-0008-0000-0200-000067070000}"/>
                  </a:ext>
                </a:extLst>
              </xdr:cNvPr>
              <xdr:cNvSpPr txBox="1"/>
            </xdr:nvSpPr>
            <xdr:spPr>
              <a:xfrm rot="21300000">
                <a:off x="5173197" y="1094588"/>
                <a:ext cx="2514600" cy="1645920"/>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C3F5"/>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Your</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to </a:t>
                </a: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me</a:t>
                </a:r>
              </a:p>
              <a:p>
                <a:pPr algn="ctr">
                  <a:spcBef>
                    <a:spcPts val="600"/>
                  </a:spcBef>
                </a:pPr>
                <a:r>
                  <a:rPr lang="en-US" sz="12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can only be </a:t>
                </a:r>
              </a:p>
              <a:p>
                <a:pPr algn="ctr">
                  <a:spcBef>
                    <a:spcPts val="0"/>
                  </a:spcBef>
                </a:pPr>
                <a:r>
                  <a:rPr lang="en-US" sz="12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as good as</a:t>
                </a:r>
              </a:p>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my</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a:t>
                </a:r>
                <a:b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b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to </a:t>
                </a:r>
                <a:r>
                  <a:rPr lang="en-US" sz="1600" b="1" baseline="0">
                    <a:solidFill>
                      <a:srgbClr val="FFC3F5"/>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896" name="TextBox 1895">
                <a:extLst>
                  <a:ext uri="{FF2B5EF4-FFF2-40B4-BE49-F238E27FC236}">
                    <a16:creationId xmlns:a16="http://schemas.microsoft.com/office/drawing/2014/main" id="{00000000-0008-0000-0200-000068070000}"/>
                  </a:ext>
                </a:extLst>
              </xdr:cNvPr>
              <xdr:cNvSpPr txBox="1"/>
            </xdr:nvSpPr>
            <xdr:spPr>
              <a:xfrm rot="315309">
                <a:off x="8236356" y="1108505"/>
                <a:ext cx="2514600" cy="1645920"/>
              </a:xfrm>
              <a:prstGeom prst="rect">
                <a:avLst/>
              </a:prstGeom>
              <a:solidFill>
                <a:srgbClr val="FF99FF">
                  <a:alpha val="20000"/>
                </a:srgbClr>
              </a:solidFill>
              <a:ln w="9525" cmpd="sng">
                <a:solidFill>
                  <a:srgbClr val="7030A0"/>
                </a:solidFill>
                <a:prstDash val="sysDot"/>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My</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a:t>
                </a:r>
                <a:b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b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to </a:t>
                </a:r>
                <a:r>
                  <a:rPr lang="en-US" sz="1600" b="1" baseline="0">
                    <a:solidFill>
                      <a:srgbClr val="FFC3F5"/>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p>
              <a:p>
                <a:pPr algn="ctr">
                  <a:spcBef>
                    <a:spcPts val="600"/>
                  </a:spcBef>
                </a:pPr>
                <a:r>
                  <a:rPr lang="en-US" sz="12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can only be </a:t>
                </a:r>
              </a:p>
              <a:p>
                <a:pPr algn="ctr">
                  <a:spcBef>
                    <a:spcPts val="0"/>
                  </a:spcBef>
                </a:pPr>
                <a:r>
                  <a:rPr lang="en-US" sz="12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as good as</a:t>
                </a:r>
              </a:p>
              <a:p>
                <a:pPr algn="ctr">
                  <a:spcBef>
                    <a:spcPts val="600"/>
                  </a:spcBef>
                </a:pPr>
                <a:r>
                  <a:rPr lang="en-US" sz="1600" b="1" baseline="0">
                    <a:solidFill>
                      <a:srgbClr val="FFC3F5"/>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your</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to </a:t>
                </a:r>
                <a:r>
                  <a:rPr lang="en-US" sz="1600" b="1" baseline="0">
                    <a:solidFill>
                      <a:srgbClr val="A0FFCD"/>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me</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grpSp>
      </xdr:grpSp>
    </xdr:grpSp>
    <xdr:clientData/>
  </xdr:twoCellAnchor>
  <xdr:twoCellAnchor>
    <xdr:from>
      <xdr:col>5</xdr:col>
      <xdr:colOff>457558</xdr:colOff>
      <xdr:row>607</xdr:row>
      <xdr:rowOff>151851</xdr:rowOff>
    </xdr:from>
    <xdr:to>
      <xdr:col>6</xdr:col>
      <xdr:colOff>189515</xdr:colOff>
      <xdr:row>609</xdr:row>
      <xdr:rowOff>54693</xdr:rowOff>
    </xdr:to>
    <xdr:sp macro="" textlink="">
      <xdr:nvSpPr>
        <xdr:cNvPr id="1927" name="Freeform: Shape 1926">
          <a:extLst>
            <a:ext uri="{FF2B5EF4-FFF2-40B4-BE49-F238E27FC236}">
              <a16:creationId xmlns:a16="http://schemas.microsoft.com/office/drawing/2014/main" id="{00000000-0008-0000-0200-000087070000}"/>
            </a:ext>
          </a:extLst>
        </xdr:cNvPr>
        <xdr:cNvSpPr/>
      </xdr:nvSpPr>
      <xdr:spPr>
        <a:xfrm>
          <a:off x="2560678"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3C1E5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607</xdr:row>
      <xdr:rowOff>151851</xdr:rowOff>
    </xdr:from>
    <xdr:to>
      <xdr:col>8</xdr:col>
      <xdr:colOff>27809</xdr:colOff>
      <xdr:row>609</xdr:row>
      <xdr:rowOff>54693</xdr:rowOff>
    </xdr:to>
    <xdr:sp macro="" textlink="">
      <xdr:nvSpPr>
        <xdr:cNvPr id="1928" name="Freeform: Shape 1927">
          <a:extLst>
            <a:ext uri="{FF2B5EF4-FFF2-40B4-BE49-F238E27FC236}">
              <a16:creationId xmlns:a16="http://schemas.microsoft.com/office/drawing/2014/main" id="{00000000-0008-0000-0200-000088070000}"/>
            </a:ext>
          </a:extLst>
        </xdr:cNvPr>
        <xdr:cNvSpPr/>
      </xdr:nvSpPr>
      <xdr:spPr>
        <a:xfrm flipH="1">
          <a:off x="3389572"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chemeClr val="accent6">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104140</xdr:colOff>
      <xdr:row>603</xdr:row>
      <xdr:rowOff>144595</xdr:rowOff>
    </xdr:from>
    <xdr:to>
      <xdr:col>13</xdr:col>
      <xdr:colOff>16764</xdr:colOff>
      <xdr:row>610</xdr:row>
      <xdr:rowOff>82279</xdr:rowOff>
    </xdr:to>
    <xdr:grpSp>
      <xdr:nvGrpSpPr>
        <xdr:cNvPr id="1930" name="Group 1929">
          <a:extLst>
            <a:ext uri="{FF2B5EF4-FFF2-40B4-BE49-F238E27FC236}">
              <a16:creationId xmlns:a16="http://schemas.microsoft.com/office/drawing/2014/main" id="{00000000-0008-0000-0200-00008A070000}"/>
            </a:ext>
          </a:extLst>
        </xdr:cNvPr>
        <xdr:cNvGrpSpPr/>
      </xdr:nvGrpSpPr>
      <xdr:grpSpPr>
        <a:xfrm>
          <a:off x="104140" y="119549995"/>
          <a:ext cx="6061964" cy="1210224"/>
          <a:chOff x="104140" y="2900155"/>
          <a:chExt cx="5978144" cy="1134024"/>
        </a:xfrm>
      </xdr:grpSpPr>
      <xdr:sp macro="" textlink="">
        <xdr:nvSpPr>
          <xdr:cNvPr id="1932" name="Rectangle 1931">
            <a:extLst>
              <a:ext uri="{FF2B5EF4-FFF2-40B4-BE49-F238E27FC236}">
                <a16:creationId xmlns:a16="http://schemas.microsoft.com/office/drawing/2014/main" id="{00000000-0008-0000-0200-00008C070000}"/>
              </a:ext>
            </a:extLst>
          </xdr:cNvPr>
          <xdr:cNvSpPr/>
        </xdr:nvSpPr>
        <xdr:spPr>
          <a:xfrm>
            <a:off x="2655558" y="2900155"/>
            <a:ext cx="931916" cy="1134024"/>
          </a:xfrm>
          <a:prstGeom prst="rect">
            <a:avLst/>
          </a:prstGeom>
          <a:noFill/>
        </xdr:spPr>
        <xdr:txBody>
          <a:bodyPr wrap="none" lIns="91440" tIns="45720" rIns="91440" bIns="45720">
            <a:noAutofit/>
          </a:bodyPr>
          <a:lstStyle/>
          <a:p>
            <a:pPr algn="ctr">
              <a:lnSpc>
                <a:spcPts val="9600"/>
              </a:lnSpc>
            </a:pPr>
            <a:r>
              <a:rPr lang="en-US" sz="9600" b="1" cap="none" spc="0">
                <a:ln w="38100">
                  <a:solidFill>
                    <a:srgbClr val="CC00CC"/>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1935" name="Speech Bubble: Rectangle with Corners Rounded 1934">
            <a:extLst>
              <a:ext uri="{FF2B5EF4-FFF2-40B4-BE49-F238E27FC236}">
                <a16:creationId xmlns:a16="http://schemas.microsoft.com/office/drawing/2014/main" id="{00000000-0008-0000-0200-00008F070000}"/>
              </a:ext>
            </a:extLst>
          </xdr:cNvPr>
          <xdr:cNvSpPr/>
        </xdr:nvSpPr>
        <xdr:spPr>
          <a:xfrm flipH="1">
            <a:off x="3556180" y="3106362"/>
            <a:ext cx="2526104" cy="868102"/>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36" name="Speech Bubble: Rectangle with Corners Rounded 1935">
            <a:extLst>
              <a:ext uri="{FF2B5EF4-FFF2-40B4-BE49-F238E27FC236}">
                <a16:creationId xmlns:a16="http://schemas.microsoft.com/office/drawing/2014/main" id="{00000000-0008-0000-0200-000090070000}"/>
              </a:ext>
            </a:extLst>
          </xdr:cNvPr>
          <xdr:cNvSpPr/>
        </xdr:nvSpPr>
        <xdr:spPr>
          <a:xfrm>
            <a:off x="104140" y="3106362"/>
            <a:ext cx="2522061" cy="868102"/>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6</xdr:col>
      <xdr:colOff>0</xdr:colOff>
      <xdr:row>629</xdr:row>
      <xdr:rowOff>83820</xdr:rowOff>
    </xdr:from>
    <xdr:to>
      <xdr:col>8</xdr:col>
      <xdr:colOff>60960</xdr:colOff>
      <xdr:row>639</xdr:row>
      <xdr:rowOff>68580</xdr:rowOff>
    </xdr:to>
    <xdr:sp macro="" textlink="">
      <xdr:nvSpPr>
        <xdr:cNvPr id="1937" name="TextBox 1936">
          <a:extLst>
            <a:ext uri="{FF2B5EF4-FFF2-40B4-BE49-F238E27FC236}">
              <a16:creationId xmlns:a16="http://schemas.microsoft.com/office/drawing/2014/main" id="{00000000-0008-0000-0200-000091070000}"/>
            </a:ext>
          </a:extLst>
        </xdr:cNvPr>
        <xdr:cNvSpPr txBox="1"/>
      </xdr:nvSpPr>
      <xdr:spPr>
        <a:xfrm>
          <a:off x="2598420" y="124007880"/>
          <a:ext cx="1051560" cy="1737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100" b="1">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As long</a:t>
          </a:r>
          <a:r>
            <a:rPr lang="en-US" sz="1100" b="1" baseline="0">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as you remain stuck in </a:t>
          </a:r>
          <a:r>
            <a:rPr lang="en-US" sz="1100" b="1" i="1" spc="-30" baseline="0">
              <a:ln>
                <a:solidFill>
                  <a:srgbClr val="CC00CC"/>
                </a:solidFill>
              </a:ln>
              <a:solidFill>
                <a:srgbClr val="7030A0"/>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psychosocial</a:t>
          </a:r>
          <a:r>
            <a:rPr lang="en-US" sz="1100" b="1" i="1" baseline="0">
              <a:ln>
                <a:solidFill>
                  <a:srgbClr val="CC00CC"/>
                </a:solidFill>
              </a:ln>
              <a:solidFill>
                <a:srgbClr val="7030A0"/>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imbalance</a:t>
          </a:r>
          <a:r>
            <a:rPr lang="en-US" sz="1100" b="1" baseline="0">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you will be in constant</a:t>
          </a:r>
          <a:r>
            <a:rPr lang="en-US" sz="1100" b="1" baseline="0">
              <a:ln>
                <a:solidFill>
                  <a:srgbClr val="CC00CC"/>
                </a:solidFill>
              </a:ln>
              <a:solidFill>
                <a:srgbClr val="FF99FF"/>
              </a:solidFill>
              <a:latin typeface="Tahoma" panose="020B0604030504040204" pitchFamily="34" charset="0"/>
              <a:ea typeface="Tahoma" panose="020B0604030504040204" pitchFamily="34" charset="0"/>
              <a:cs typeface="Tahoma" panose="020B0604030504040204" pitchFamily="34" charset="0"/>
            </a:rPr>
            <a:t> </a:t>
          </a:r>
          <a:r>
            <a:rPr lang="en-US" sz="2400" b="0" baseline="0">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100" baseline="0">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238794</xdr:colOff>
      <xdr:row>872</xdr:row>
      <xdr:rowOff>137160</xdr:rowOff>
    </xdr:from>
    <xdr:to>
      <xdr:col>12</xdr:col>
      <xdr:colOff>276894</xdr:colOff>
      <xdr:row>877</xdr:row>
      <xdr:rowOff>22860</xdr:rowOff>
    </xdr:to>
    <xdr:sp macro="" textlink="">
      <xdr:nvSpPr>
        <xdr:cNvPr id="1942" name="TextBox 1941">
          <a:extLst>
            <a:ext uri="{FF2B5EF4-FFF2-40B4-BE49-F238E27FC236}">
              <a16:creationId xmlns:a16="http://schemas.microsoft.com/office/drawing/2014/main" id="{00000000-0008-0000-0200-000096070000}"/>
            </a:ext>
          </a:extLst>
        </xdr:cNvPr>
        <xdr:cNvSpPr txBox="1"/>
      </xdr:nvSpPr>
      <xdr:spPr>
        <a:xfrm>
          <a:off x="360714" y="169613580"/>
          <a:ext cx="5486400" cy="762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685800" rIns="685800" rtlCol="0" anchor="ctr"/>
        <a:lstStyle/>
        <a:p>
          <a:pPr algn="ctr"/>
          <a:r>
            <a:rPr lang="en-US" sz="2000" b="1">
              <a:solidFill>
                <a:srgbClr val="F5D2FF"/>
              </a:solidFill>
              <a:latin typeface="Tahoma" panose="020B0604030504040204" pitchFamily="34" charset="0"/>
              <a:ea typeface="Tahoma" panose="020B0604030504040204" pitchFamily="34" charset="0"/>
              <a:cs typeface="Tahoma" panose="020B0604030504040204" pitchFamily="34" charset="0"/>
            </a:rPr>
            <a:t>Let's understand others as</a:t>
          </a:r>
          <a:r>
            <a:rPr lang="en-US" sz="2000" b="1" baseline="0">
              <a:solidFill>
                <a:srgbClr val="F5D2FF"/>
              </a:solidFill>
              <a:latin typeface="Tahoma" panose="020B0604030504040204" pitchFamily="34" charset="0"/>
              <a:ea typeface="Tahoma" panose="020B0604030504040204" pitchFamily="34" charset="0"/>
              <a:cs typeface="Tahoma" panose="020B0604030504040204" pitchFamily="34" charset="0"/>
            </a:rPr>
            <a:t> we seek others to understand us</a:t>
          </a:r>
          <a:r>
            <a:rPr lang="en-US" sz="2000" b="1">
              <a:solidFill>
                <a:srgbClr val="F5D2FF"/>
              </a:solidFill>
              <a:latin typeface="Tahoma" panose="020B0604030504040204" pitchFamily="34" charset="0"/>
              <a:ea typeface="Tahoma" panose="020B0604030504040204" pitchFamily="34" charset="0"/>
              <a:cs typeface="Tahoma" panose="020B0604030504040204" pitchFamily="34" charset="0"/>
            </a:rPr>
            <a:t>. </a:t>
          </a:r>
          <a:endParaRPr lang="en-US" sz="1800" b="1" baseline="0">
            <a:solidFill>
              <a:srgbClr val="F5D2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22860</xdr:colOff>
      <xdr:row>647</xdr:row>
      <xdr:rowOff>158115</xdr:rowOff>
    </xdr:from>
    <xdr:to>
      <xdr:col>13</xdr:col>
      <xdr:colOff>68580</xdr:colOff>
      <xdr:row>653</xdr:row>
      <xdr:rowOff>125730</xdr:rowOff>
    </xdr:to>
    <xdr:sp macro="" textlink="">
      <xdr:nvSpPr>
        <xdr:cNvPr id="1943" name="TextBox 1942">
          <a:extLst>
            <a:ext uri="{FF2B5EF4-FFF2-40B4-BE49-F238E27FC236}">
              <a16:creationId xmlns:a16="http://schemas.microsoft.com/office/drawing/2014/main" id="{00000000-0008-0000-0200-000097070000}"/>
            </a:ext>
          </a:extLst>
        </xdr:cNvPr>
        <xdr:cNvSpPr txBox="1"/>
      </xdr:nvSpPr>
      <xdr:spPr>
        <a:xfrm>
          <a:off x="22860" y="124907040"/>
          <a:ext cx="5989320" cy="1005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400" spc="-20" baseline="0">
              <a:latin typeface="Tahoma" panose="020B0604030504040204" pitchFamily="34" charset="0"/>
              <a:ea typeface="Tahoma" panose="020B0604030504040204" pitchFamily="34" charset="0"/>
              <a:cs typeface="Tahoma" panose="020B0604030504040204" pitchFamily="34" charset="0"/>
            </a:rPr>
            <a:t>Anankelogy finds a continuum from those extremely to moderately </a:t>
          </a:r>
          <a:r>
            <a:rPr lang="en-US" sz="1400" spc="-2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wide-oriented</a:t>
          </a:r>
          <a:r>
            <a:rPr lang="en-US" sz="1400" spc="-20" baseline="0">
              <a:latin typeface="Tahoma" panose="020B0604030504040204" pitchFamily="34" charset="0"/>
              <a:ea typeface="Tahoma" panose="020B0604030504040204" pitchFamily="34" charset="0"/>
              <a:cs typeface="Tahoma" panose="020B0604030504040204" pitchFamily="34" charset="0"/>
            </a:rPr>
            <a:t> to those </a:t>
          </a:r>
          <a:r>
            <a:rPr lang="en-US" sz="1400" baseline="0">
              <a:latin typeface="Tahoma" panose="020B0604030504040204" pitchFamily="34" charset="0"/>
              <a:ea typeface="Tahoma" panose="020B0604030504040204" pitchFamily="34" charset="0"/>
              <a:cs typeface="Tahoma" panose="020B0604030504040204" pitchFamily="34" charset="0"/>
            </a:rPr>
            <a:t>who</a:t>
          </a:r>
          <a:r>
            <a:rPr lang="en-US" sz="1400" spc="20" baseline="0">
              <a:latin typeface="Tahoma" panose="020B0604030504040204" pitchFamily="34" charset="0"/>
              <a:ea typeface="Tahoma" panose="020B0604030504040204" pitchFamily="34" charset="0"/>
              <a:cs typeface="Tahoma" panose="020B0604030504040204" pitchFamily="34" charset="0"/>
            </a:rPr>
            <a:t> are moderately to extremely </a:t>
          </a:r>
          <a:r>
            <a:rPr lang="en-US" sz="1400" spc="2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rPr>
            <a:t>deep-oriented</a:t>
          </a:r>
          <a:r>
            <a:rPr lang="en-US" sz="1400" spc="20" baseline="0">
              <a:latin typeface="Tahoma" panose="020B0604030504040204" pitchFamily="34" charset="0"/>
              <a:ea typeface="Tahoma" panose="020B0604030504040204" pitchFamily="34" charset="0"/>
              <a:cs typeface="Tahoma" panose="020B0604030504040204" pitchFamily="34" charset="0"/>
            </a:rPr>
            <a:t>. This range of specific </a:t>
          </a:r>
          <a:r>
            <a:rPr lang="en-US" sz="1400" i="1" spc="20" baseline="0">
              <a:latin typeface="Tahoma" panose="020B0604030504040204" pitchFamily="34" charset="0"/>
              <a:ea typeface="Tahoma" panose="020B0604030504040204" pitchFamily="34" charset="0"/>
              <a:cs typeface="Tahoma" panose="020B0604030504040204" pitchFamily="34" charset="0"/>
            </a:rPr>
            <a:t>psychosocial </a:t>
          </a:r>
          <a:r>
            <a:rPr lang="en-US" sz="1400" i="1" baseline="0">
              <a:latin typeface="Tahoma" panose="020B0604030504040204" pitchFamily="34" charset="0"/>
              <a:ea typeface="Tahoma" panose="020B0604030504040204" pitchFamily="34" charset="0"/>
              <a:cs typeface="Tahoma" panose="020B0604030504040204" pitchFamily="34" charset="0"/>
            </a:rPr>
            <a:t>orientations </a:t>
          </a:r>
          <a:r>
            <a:rPr lang="en-US" sz="1400" baseline="0">
              <a:latin typeface="Tahoma" panose="020B0604030504040204" pitchFamily="34" charset="0"/>
              <a:ea typeface="Tahoma" panose="020B0604030504040204" pitchFamily="34" charset="0"/>
              <a:cs typeface="Tahoma" panose="020B0604030504040204" pitchFamily="34" charset="0"/>
            </a:rPr>
            <a:t>form the basis for much of our spectrum of political diversity. </a:t>
          </a:r>
        </a:p>
      </xdr:txBody>
    </xdr:sp>
    <xdr:clientData/>
  </xdr:twoCellAnchor>
  <xdr:twoCellAnchor>
    <xdr:from>
      <xdr:col>0</xdr:col>
      <xdr:colOff>106680</xdr:colOff>
      <xdr:row>793</xdr:row>
      <xdr:rowOff>106680</xdr:rowOff>
    </xdr:from>
    <xdr:to>
      <xdr:col>12</xdr:col>
      <xdr:colOff>480060</xdr:colOff>
      <xdr:row>808</xdr:row>
      <xdr:rowOff>144780</xdr:rowOff>
    </xdr:to>
    <xdr:sp macro="" textlink="">
      <xdr:nvSpPr>
        <xdr:cNvPr id="1938" name="psychosocial reduction">
          <a:extLst>
            <a:ext uri="{FF2B5EF4-FFF2-40B4-BE49-F238E27FC236}">
              <a16:creationId xmlns:a16="http://schemas.microsoft.com/office/drawing/2014/main" id="{00000000-0008-0000-0200-000092070000}"/>
            </a:ext>
          </a:extLst>
        </xdr:cNvPr>
        <xdr:cNvSpPr txBox="1"/>
      </xdr:nvSpPr>
      <xdr:spPr>
        <a:xfrm>
          <a:off x="106680" y="172638720"/>
          <a:ext cx="5943600" cy="3017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nSpc>
              <a:spcPts val="1500"/>
            </a:lnSpc>
          </a:pP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We cannot function fully while suffering </a:t>
          </a:r>
          <a:r>
            <a:rPr lang="en-US" sz="1400"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psychosocial imbalance</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when our </a:t>
          </a:r>
          <a:r>
            <a:rPr lang="en-US" sz="1400" baseline="0">
              <a:ln>
                <a:solidFill>
                  <a:srgbClr val="1E5A28"/>
                </a:solidFill>
              </a:ln>
              <a:solidFill>
                <a:srgbClr val="1E5A28"/>
              </a:solidFill>
              <a:effectLst/>
              <a:latin typeface="Tahoma" panose="020B0604030504040204" pitchFamily="34" charset="0"/>
              <a:ea typeface="Tahoma" panose="020B0604030504040204" pitchFamily="34" charset="0"/>
              <a:cs typeface="Tahoma" panose="020B0604030504040204" pitchFamily="34" charset="0"/>
            </a:rPr>
            <a:t>self-needs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effectLst/>
              <a:latin typeface="Tahoma" panose="020B0604030504040204" pitchFamily="34" charset="0"/>
              <a:ea typeface="Tahoma" panose="020B0604030504040204" pitchFamily="34" charset="0"/>
              <a:cs typeface="Tahoma" panose="020B0604030504040204" pitchFamily="34" charset="0"/>
            </a:rPr>
            <a:t>social-needs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remain in painful tension with each other.</a:t>
          </a:r>
        </a:p>
        <a:p>
          <a:endPar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endParaRPr>
        </a:p>
        <a:p>
          <a:pPr lvl="1">
            <a:lnSpc>
              <a:spcPts val="1400"/>
            </a:lnSpc>
          </a:pP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The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less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your </a:t>
          </a:r>
          <a:r>
            <a:rPr lang="en-US" sz="1400" baseline="0">
              <a:ln>
                <a:solidFill>
                  <a:srgbClr val="1E5A28"/>
                </a:solidFill>
              </a:ln>
              <a:solidFill>
                <a:srgbClr val="1E5A28"/>
              </a:solidFill>
              <a:effectLst/>
              <a:latin typeface="Tahoma" panose="020B0604030504040204" pitchFamily="34" charset="0"/>
              <a:ea typeface="Tahoma" panose="020B0604030504040204" pitchFamily="34" charset="0"/>
              <a:cs typeface="Tahoma" panose="020B0604030504040204" pitchFamily="34" charset="0"/>
            </a:rPr>
            <a:t>self-needs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effectLst/>
              <a:latin typeface="Tahoma" panose="020B0604030504040204" pitchFamily="34" charset="0"/>
              <a:ea typeface="Tahoma" panose="020B0604030504040204" pitchFamily="34" charset="0"/>
              <a:cs typeface="Tahoma" panose="020B0604030504040204" pitchFamily="34" charset="0"/>
            </a:rPr>
            <a:t>social-needs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resolve on par with each other, the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more</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you struggle in pain. Your other needs cannot fully resolve, leaving you with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less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energy to live your life. </a:t>
          </a:r>
        </a:p>
        <a:p>
          <a:endParaRPr lang="en-US" sz="1400" baseline="0">
            <a:latin typeface="Tahoma" panose="020B0604030504040204" pitchFamily="34" charset="0"/>
            <a:ea typeface="Tahoma" panose="020B0604030504040204" pitchFamily="34" charset="0"/>
            <a:cs typeface="Tahoma" panose="020B0604030504040204" pitchFamily="34" charset="0"/>
          </a:endParaRPr>
        </a:p>
        <a:p>
          <a:pPr>
            <a:lnSpc>
              <a:spcPts val="1500"/>
            </a:lnSpc>
          </a:pPr>
          <a:r>
            <a:rPr lang="en-US" sz="1400" spc="-10" baseline="0">
              <a:latin typeface="Tahoma" panose="020B0604030504040204" pitchFamily="34" charset="0"/>
              <a:ea typeface="Tahoma" panose="020B0604030504040204" pitchFamily="34" charset="0"/>
              <a:cs typeface="Tahoma" panose="020B0604030504040204" pitchFamily="34" charset="0"/>
            </a:rPr>
            <a:t>We can only function fully from a position of </a:t>
          </a:r>
          <a:r>
            <a:rPr lang="en-US" sz="1400" i="1" spc="-10" baseline="0">
              <a:latin typeface="Tahoma" panose="020B0604030504040204" pitchFamily="34" charset="0"/>
              <a:ea typeface="Tahoma" panose="020B0604030504040204" pitchFamily="34" charset="0"/>
              <a:cs typeface="Tahoma" panose="020B0604030504040204" pitchFamily="34" charset="0"/>
            </a:rPr>
            <a:t>psychosocial equilibrium</a:t>
          </a:r>
          <a:r>
            <a:rPr lang="en-US" sz="1400" spc="-10" baseline="0">
              <a:latin typeface="Tahoma" panose="020B0604030504040204" pitchFamily="34" charset="0"/>
              <a:ea typeface="Tahoma" panose="020B0604030504040204" pitchFamily="34" charset="0"/>
              <a:cs typeface="Tahoma" panose="020B0604030504040204" pitchFamily="34" charset="0"/>
            </a:rPr>
            <a:t>, when </a:t>
          </a:r>
          <a:r>
            <a:rPr lang="en-US" sz="1400" baseline="0">
              <a:latin typeface="Tahoma" panose="020B0604030504040204" pitchFamily="34" charset="0"/>
              <a:ea typeface="Tahoma" panose="020B0604030504040204" pitchFamily="34" charset="0"/>
              <a:cs typeface="Tahoma" panose="020B0604030504040204" pitchFamily="34" charset="0"/>
            </a:rPr>
            <a:t>our internal </a:t>
          </a:r>
          <a:r>
            <a:rPr lang="en-US" sz="1400" baseline="0">
              <a:ln>
                <a:solidFill>
                  <a:srgbClr val="1E5A28"/>
                </a:solidFill>
              </a:ln>
              <a:solidFill>
                <a:srgbClr val="1E5A28"/>
              </a:solidFill>
              <a:latin typeface="Tahoma" panose="020B0604030504040204" pitchFamily="34" charset="0"/>
              <a:ea typeface="Tahoma" panose="020B0604030504040204" pitchFamily="34" charset="0"/>
              <a:cs typeface="Tahoma" panose="020B0604030504040204" pitchFamily="34" charset="0"/>
            </a:rPr>
            <a:t>self-needs</a:t>
          </a:r>
          <a:r>
            <a:rPr lang="en-US" sz="1400" baseline="0">
              <a:latin typeface="Tahoma" panose="020B0604030504040204" pitchFamily="34" charset="0"/>
              <a:ea typeface="Tahoma" panose="020B0604030504040204" pitchFamily="34" charset="0"/>
              <a:cs typeface="Tahoma" panose="020B0604030504040204" pitchFamily="34" charset="0"/>
            </a:rPr>
            <a:t> remain in relative balance with our external </a:t>
          </a:r>
          <a:r>
            <a:rPr lang="en-US" sz="1400" baseline="0">
              <a:ln>
                <a:solidFill>
                  <a:srgbClr val="411E5A"/>
                </a:solidFill>
              </a:ln>
              <a:solidFill>
                <a:srgbClr val="411E5A"/>
              </a:solidFill>
              <a:latin typeface="Tahoma" panose="020B0604030504040204" pitchFamily="34" charset="0"/>
              <a:ea typeface="Tahoma" panose="020B0604030504040204" pitchFamily="34" charset="0"/>
              <a:cs typeface="Tahoma" panose="020B0604030504040204" pitchFamily="34" charset="0"/>
            </a:rPr>
            <a:t>social-needs</a:t>
          </a:r>
          <a:r>
            <a:rPr lang="en-US" sz="1400" baseline="0">
              <a:latin typeface="Tahoma" panose="020B0604030504040204" pitchFamily="34" charset="0"/>
              <a:ea typeface="Tahoma" panose="020B0604030504040204" pitchFamily="34" charset="0"/>
              <a:cs typeface="Tahoma" panose="020B0604030504040204" pitchFamily="34" charset="0"/>
            </a:rPr>
            <a:t>. </a:t>
          </a:r>
        </a:p>
        <a:p>
          <a:endParaRPr lang="en-US" sz="1400" baseline="0">
            <a:latin typeface="Tahoma" panose="020B0604030504040204" pitchFamily="34" charset="0"/>
            <a:ea typeface="Tahoma" panose="020B0604030504040204" pitchFamily="34" charset="0"/>
            <a:cs typeface="Tahoma" panose="020B0604030504040204" pitchFamily="34" charset="0"/>
          </a:endParaRPr>
        </a:p>
        <a:p>
          <a:pPr lvl="1">
            <a:lnSpc>
              <a:spcPts val="1400"/>
            </a:lnSpc>
          </a:pPr>
          <a:r>
            <a:rPr lang="en-US" sz="1400" baseline="0">
              <a:latin typeface="Tahoma" panose="020B0604030504040204" pitchFamily="34" charset="0"/>
              <a:ea typeface="Tahoma" panose="020B0604030504040204" pitchFamily="34" charset="0"/>
              <a:cs typeface="Tahoma" panose="020B0604030504040204" pitchFamily="34" charset="0"/>
            </a:rPr>
            <a:t>The </a:t>
          </a:r>
          <a:r>
            <a:rPr lang="en-US" sz="1400" b="1" i="1" baseline="0">
              <a:latin typeface="Tahoma" panose="020B0604030504040204" pitchFamily="34" charset="0"/>
              <a:ea typeface="Tahoma" panose="020B0604030504040204" pitchFamily="34" charset="0"/>
              <a:cs typeface="Tahoma" panose="020B0604030504040204" pitchFamily="34" charset="0"/>
            </a:rPr>
            <a:t>more</a:t>
          </a:r>
          <a:r>
            <a:rPr lang="en-US" sz="1400" baseline="0">
              <a:latin typeface="Tahoma" panose="020B0604030504040204" pitchFamily="34" charset="0"/>
              <a:ea typeface="Tahoma" panose="020B0604030504040204" pitchFamily="34" charset="0"/>
              <a:cs typeface="Tahoma" panose="020B0604030504040204" pitchFamily="34" charset="0"/>
            </a:rPr>
            <a:t> your </a:t>
          </a:r>
          <a:r>
            <a:rPr lang="en-US" sz="1400" baseline="0">
              <a:ln>
                <a:solidFill>
                  <a:srgbClr val="1E5A28"/>
                </a:solidFill>
              </a:ln>
              <a:solidFill>
                <a:srgbClr val="1E5A28"/>
              </a:solidFill>
              <a:latin typeface="Tahoma" panose="020B0604030504040204" pitchFamily="34" charset="0"/>
              <a:ea typeface="Tahoma" panose="020B0604030504040204" pitchFamily="34" charset="0"/>
              <a:cs typeface="Tahoma" panose="020B0604030504040204" pitchFamily="34" charset="0"/>
            </a:rPr>
            <a:t>self-needs</a:t>
          </a:r>
          <a:r>
            <a:rPr lang="en-US" sz="1400" baseline="0">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latin typeface="Tahoma" panose="020B0604030504040204" pitchFamily="34" charset="0"/>
              <a:ea typeface="Tahoma" panose="020B0604030504040204" pitchFamily="34" charset="0"/>
              <a:cs typeface="Tahoma" panose="020B0604030504040204" pitchFamily="34" charset="0"/>
            </a:rPr>
            <a:t>social-needs</a:t>
          </a:r>
          <a:r>
            <a:rPr lang="en-US" sz="1400" baseline="0">
              <a:latin typeface="Tahoma" panose="020B0604030504040204" pitchFamily="34" charset="0"/>
              <a:ea typeface="Tahoma" panose="020B0604030504040204" pitchFamily="34" charset="0"/>
              <a:cs typeface="Tahoma" panose="020B0604030504040204" pitchFamily="34" charset="0"/>
            </a:rPr>
            <a:t> resolve on par with each other, the </a:t>
          </a:r>
          <a:r>
            <a:rPr lang="en-US" sz="1400" b="1" i="1" baseline="0">
              <a:latin typeface="Tahoma" panose="020B0604030504040204" pitchFamily="34" charset="0"/>
              <a:ea typeface="Tahoma" panose="020B0604030504040204" pitchFamily="34" charset="0"/>
              <a:cs typeface="Tahoma" panose="020B0604030504040204" pitchFamily="34" charset="0"/>
            </a:rPr>
            <a:t>less</a:t>
          </a:r>
          <a:r>
            <a:rPr lang="en-US" sz="1400" baseline="0">
              <a:latin typeface="Tahoma" panose="020B0604030504040204" pitchFamily="34" charset="0"/>
              <a:ea typeface="Tahoma" panose="020B0604030504040204" pitchFamily="34" charset="0"/>
              <a:cs typeface="Tahoma" panose="020B0604030504040204" pitchFamily="34" charset="0"/>
            </a:rPr>
            <a:t> you struggle in pain. Your other needs can then more fully resolve, giving you </a:t>
          </a:r>
          <a:r>
            <a:rPr lang="en-US" sz="1400" b="1" i="1" baseline="0">
              <a:latin typeface="Tahoma" panose="020B0604030504040204" pitchFamily="34" charset="0"/>
              <a:ea typeface="Tahoma" panose="020B0604030504040204" pitchFamily="34" charset="0"/>
              <a:cs typeface="Tahoma" panose="020B0604030504040204" pitchFamily="34" charset="0"/>
            </a:rPr>
            <a:t>more</a:t>
          </a:r>
          <a:r>
            <a:rPr lang="en-US" sz="1400" baseline="0">
              <a:latin typeface="Tahoma" panose="020B0604030504040204" pitchFamily="34" charset="0"/>
              <a:ea typeface="Tahoma" panose="020B0604030504040204" pitchFamily="34" charset="0"/>
              <a:cs typeface="Tahoma" panose="020B0604030504040204" pitchFamily="34" charset="0"/>
            </a:rPr>
            <a:t> energy to live life fully. </a:t>
          </a:r>
          <a:endParaRPr lang="en-US" sz="16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45720</xdr:colOff>
      <xdr:row>779</xdr:row>
      <xdr:rowOff>15241</xdr:rowOff>
    </xdr:from>
    <xdr:to>
      <xdr:col>13</xdr:col>
      <xdr:colOff>45720</xdr:colOff>
      <xdr:row>782</xdr:row>
      <xdr:rowOff>76201</xdr:rowOff>
    </xdr:to>
    <xdr:sp macro="" textlink="">
      <xdr:nvSpPr>
        <xdr:cNvPr id="1945" name="psychosocial reduction">
          <a:extLst>
            <a:ext uri="{FF2B5EF4-FFF2-40B4-BE49-F238E27FC236}">
              <a16:creationId xmlns:a16="http://schemas.microsoft.com/office/drawing/2014/main" id="{00000000-0008-0000-0200-000099070000}"/>
            </a:ext>
          </a:extLst>
        </xdr:cNvPr>
        <xdr:cNvSpPr txBox="1"/>
      </xdr:nvSpPr>
      <xdr:spPr>
        <a:xfrm>
          <a:off x="167640" y="153108661"/>
          <a:ext cx="5943600" cy="586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rIns="0" rtlCol="0" anchor="t"/>
        <a:lstStyle/>
        <a:p>
          <a:r>
            <a:rPr lang="en-US" sz="1400" spc="-30" baseline="0">
              <a:latin typeface="Tahoma" panose="020B0604030504040204" pitchFamily="34" charset="0"/>
              <a:ea typeface="Tahoma" panose="020B0604030504040204" pitchFamily="34" charset="0"/>
              <a:cs typeface="Tahoma" panose="020B0604030504040204" pitchFamily="34" charset="0"/>
            </a:rPr>
            <a:t>Political fighting normalizes the problem of "psychosocial imbalance." If kept generalizing for relief, you easily cling to either psychosocial extreme:</a:t>
          </a:r>
        </a:p>
      </xdr:txBody>
    </xdr:sp>
    <xdr:clientData/>
  </xdr:twoCellAnchor>
  <xdr:twoCellAnchor>
    <xdr:from>
      <xdr:col>7</xdr:col>
      <xdr:colOff>266700</xdr:colOff>
      <xdr:row>782</xdr:row>
      <xdr:rowOff>95250</xdr:rowOff>
    </xdr:from>
    <xdr:to>
      <xdr:col>13</xdr:col>
      <xdr:colOff>38100</xdr:colOff>
      <xdr:row>787</xdr:row>
      <xdr:rowOff>60960</xdr:rowOff>
    </xdr:to>
    <xdr:sp macro="" textlink="">
      <xdr:nvSpPr>
        <xdr:cNvPr id="1946" name="psychosocial reduction">
          <a:extLst>
            <a:ext uri="{FF2B5EF4-FFF2-40B4-BE49-F238E27FC236}">
              <a16:creationId xmlns:a16="http://schemas.microsoft.com/office/drawing/2014/main" id="{00000000-0008-0000-0200-00009A070000}"/>
            </a:ext>
          </a:extLst>
        </xdr:cNvPr>
        <xdr:cNvSpPr txBox="1"/>
      </xdr:nvSpPr>
      <xdr:spPr>
        <a:xfrm>
          <a:off x="3295650" y="150609300"/>
          <a:ext cx="2686050" cy="822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emphasize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internal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psychological factors </a:t>
          </a:r>
        </a:p>
        <a:p>
          <a:pPr algn="ctr">
            <a:spcBef>
              <a:spcPts val="300"/>
            </a:spcBef>
          </a:pP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to the neglect of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external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socio-environmental factors</a:t>
          </a:r>
        </a:p>
      </xdr:txBody>
    </xdr:sp>
    <xdr:clientData/>
  </xdr:twoCellAnchor>
  <xdr:twoCellAnchor>
    <xdr:from>
      <xdr:col>1</xdr:col>
      <xdr:colOff>53340</xdr:colOff>
      <xdr:row>782</xdr:row>
      <xdr:rowOff>95250</xdr:rowOff>
    </xdr:from>
    <xdr:to>
      <xdr:col>6</xdr:col>
      <xdr:colOff>320040</xdr:colOff>
      <xdr:row>787</xdr:row>
      <xdr:rowOff>60960</xdr:rowOff>
    </xdr:to>
    <xdr:sp macro="" textlink="">
      <xdr:nvSpPr>
        <xdr:cNvPr id="1966" name="psychosocial reduction">
          <a:extLst>
            <a:ext uri="{FF2B5EF4-FFF2-40B4-BE49-F238E27FC236}">
              <a16:creationId xmlns:a16="http://schemas.microsoft.com/office/drawing/2014/main" id="{00000000-0008-0000-0200-0000AE070000}"/>
            </a:ext>
          </a:extLst>
        </xdr:cNvPr>
        <xdr:cNvSpPr txBox="1"/>
      </xdr:nvSpPr>
      <xdr:spPr>
        <a:xfrm>
          <a:off x="167640" y="150609300"/>
          <a:ext cx="2695575" cy="822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emphasize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external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socio-environmental  factors </a:t>
          </a:r>
        </a:p>
        <a:p>
          <a:pPr algn="ctr">
            <a:spcBef>
              <a:spcPts val="300"/>
            </a:spcBef>
          </a:pP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to the neglect of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internal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psychological</a:t>
          </a:r>
          <a:r>
            <a:rPr lang="en-US" sz="1100" b="1" baseline="0">
              <a:solidFill>
                <a:schemeClr val="dk1"/>
              </a:solidFill>
              <a:effectLst/>
              <a:latin typeface="+mn-lt"/>
              <a:ea typeface="+mn-ea"/>
              <a:cs typeface="+mn-cs"/>
            </a:rPr>
            <a:t> </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factors</a:t>
          </a:r>
        </a:p>
      </xdr:txBody>
    </xdr:sp>
    <xdr:clientData/>
  </xdr:twoCellAnchor>
  <xdr:twoCellAnchor>
    <xdr:from>
      <xdr:col>0</xdr:col>
      <xdr:colOff>66675</xdr:colOff>
      <xdr:row>813</xdr:row>
      <xdr:rowOff>66675</xdr:rowOff>
    </xdr:from>
    <xdr:to>
      <xdr:col>7</xdr:col>
      <xdr:colOff>0</xdr:colOff>
      <xdr:row>823</xdr:row>
      <xdr:rowOff>142875</xdr:rowOff>
    </xdr:to>
    <xdr:sp macro="" textlink="">
      <xdr:nvSpPr>
        <xdr:cNvPr id="2135" name="TextBox 2134">
          <a:extLst>
            <a:ext uri="{FF2B5EF4-FFF2-40B4-BE49-F238E27FC236}">
              <a16:creationId xmlns:a16="http://schemas.microsoft.com/office/drawing/2014/main" id="{00000000-0008-0000-0200-000057080000}"/>
            </a:ext>
          </a:extLst>
        </xdr:cNvPr>
        <xdr:cNvSpPr txBox="1"/>
      </xdr:nvSpPr>
      <xdr:spPr>
        <a:xfrm>
          <a:off x="66675" y="155895675"/>
          <a:ext cx="2962275" cy="1762125"/>
        </a:xfrm>
        <a:prstGeom prst="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spcBef>
              <a:spcPts val="0"/>
            </a:spcBef>
            <a:spcAft>
              <a:spcPts val="600"/>
            </a:spcAft>
          </a:pPr>
          <a:r>
            <a:rPr lang="en-US" sz="2000" b="1" baseline="0">
              <a:solidFill>
                <a:srgbClr val="7030A0"/>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popular immature reaction?</a:t>
          </a:r>
        </a:p>
      </xdr:txBody>
    </xdr:sp>
    <xdr:clientData/>
  </xdr:twoCellAnchor>
  <xdr:twoCellAnchor>
    <xdr:from>
      <xdr:col>1</xdr:col>
      <xdr:colOff>186726</xdr:colOff>
      <xdr:row>787</xdr:row>
      <xdr:rowOff>45747</xdr:rowOff>
    </xdr:from>
    <xdr:to>
      <xdr:col>6</xdr:col>
      <xdr:colOff>346700</xdr:colOff>
      <xdr:row>792</xdr:row>
      <xdr:rowOff>17410</xdr:rowOff>
    </xdr:to>
    <xdr:grpSp>
      <xdr:nvGrpSpPr>
        <xdr:cNvPr id="28" name="Group 27">
          <a:extLst>
            <a:ext uri="{FF2B5EF4-FFF2-40B4-BE49-F238E27FC236}">
              <a16:creationId xmlns:a16="http://schemas.microsoft.com/office/drawing/2014/main" id="{00000000-0008-0000-0200-00001C000000}"/>
            </a:ext>
          </a:extLst>
        </xdr:cNvPr>
        <xdr:cNvGrpSpPr/>
      </xdr:nvGrpSpPr>
      <xdr:grpSpPr>
        <a:xfrm>
          <a:off x="301026" y="154670787"/>
          <a:ext cx="2674574" cy="847963"/>
          <a:chOff x="232446" y="172143447"/>
          <a:chExt cx="2636474" cy="847963"/>
        </a:xfrm>
      </xdr:grpSpPr>
      <xdr:sp macro="" textlink="">
        <xdr:nvSpPr>
          <xdr:cNvPr id="2114" name="TextBox 2113">
            <a:extLst>
              <a:ext uri="{FF2B5EF4-FFF2-40B4-BE49-F238E27FC236}">
                <a16:creationId xmlns:a16="http://schemas.microsoft.com/office/drawing/2014/main" id="{00000000-0008-0000-0200-000042080000}"/>
              </a:ext>
            </a:extLst>
          </xdr:cNvPr>
          <xdr:cNvSpPr txBox="1"/>
        </xdr:nvSpPr>
        <xdr:spPr>
          <a:xfrm rot="21300000">
            <a:off x="1771640" y="172143447"/>
            <a:ext cx="1097280" cy="640080"/>
          </a:xfrm>
          <a:prstGeom prst="rect">
            <a:avLst/>
          </a:prstGeom>
          <a:solidFill>
            <a:srgbClr val="A0FFCD">
              <a:alpha val="20000"/>
            </a:srgbClr>
          </a:solidFill>
          <a:ln w="9525" cmpd="sng">
            <a:solidFill>
              <a:srgbClr val="00B05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internal factors</a:t>
            </a:r>
          </a:p>
        </xdr:txBody>
      </xdr:sp>
      <xdr:grpSp>
        <xdr:nvGrpSpPr>
          <xdr:cNvPr id="2169" name="Group 2168">
            <a:extLst>
              <a:ext uri="{FF2B5EF4-FFF2-40B4-BE49-F238E27FC236}">
                <a16:creationId xmlns:a16="http://schemas.microsoft.com/office/drawing/2014/main" id="{00000000-0008-0000-0200-000079080000}"/>
              </a:ext>
            </a:extLst>
          </xdr:cNvPr>
          <xdr:cNvGrpSpPr/>
        </xdr:nvGrpSpPr>
        <xdr:grpSpPr>
          <a:xfrm>
            <a:off x="403863" y="172696768"/>
            <a:ext cx="2286000" cy="294642"/>
            <a:chOff x="6423132" y="11373244"/>
            <a:chExt cx="2733955" cy="503373"/>
          </a:xfrm>
          <a:effectLst>
            <a:outerShdw blurRad="63500" sx="102000" sy="102000" algn="ctr" rotWithShape="0">
              <a:prstClr val="black">
                <a:alpha val="40000"/>
              </a:prstClr>
            </a:outerShdw>
          </a:effectLst>
        </xdr:grpSpPr>
        <xdr:sp macro="" textlink="">
          <xdr:nvSpPr>
            <xdr:cNvPr id="2170" name="Right Brace 2169">
              <a:extLst>
                <a:ext uri="{FF2B5EF4-FFF2-40B4-BE49-F238E27FC236}">
                  <a16:creationId xmlns:a16="http://schemas.microsoft.com/office/drawing/2014/main" id="{00000000-0008-0000-0200-00007A080000}"/>
                </a:ext>
              </a:extLst>
            </xdr:cNvPr>
            <xdr:cNvSpPr/>
          </xdr:nvSpPr>
          <xdr:spPr>
            <a:xfrm rot="5100000">
              <a:off x="7697894" y="10763672"/>
              <a:ext cx="182880" cy="1828799"/>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171" name="Right Bracket 2170">
              <a:extLst>
                <a:ext uri="{FF2B5EF4-FFF2-40B4-BE49-F238E27FC236}">
                  <a16:creationId xmlns:a16="http://schemas.microsoft.com/office/drawing/2014/main" id="{00000000-0008-0000-0200-00007B080000}"/>
                </a:ext>
              </a:extLst>
            </xdr:cNvPr>
            <xdr:cNvSpPr/>
          </xdr:nvSpPr>
          <xdr:spPr>
            <a:xfrm rot="5400000">
              <a:off x="6839268" y="11187102"/>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72" name="Right Bracket 2171">
              <a:extLst>
                <a:ext uri="{FF2B5EF4-FFF2-40B4-BE49-F238E27FC236}">
                  <a16:creationId xmlns:a16="http://schemas.microsoft.com/office/drawing/2014/main" id="{00000000-0008-0000-0200-00007C080000}"/>
                </a:ext>
              </a:extLst>
            </xdr:cNvPr>
            <xdr:cNvSpPr/>
          </xdr:nvSpPr>
          <xdr:spPr>
            <a:xfrm rot="5400000">
              <a:off x="8658823" y="10957108"/>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81" name="Flowchart: Delay 2180">
              <a:extLst>
                <a:ext uri="{FF2B5EF4-FFF2-40B4-BE49-F238E27FC236}">
                  <a16:creationId xmlns:a16="http://schemas.microsoft.com/office/drawing/2014/main" id="{00000000-0008-0000-0200-00008508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sp macro="" textlink="">
        <xdr:nvSpPr>
          <xdr:cNvPr id="2193" name="TextBox 2192">
            <a:extLst>
              <a:ext uri="{FF2B5EF4-FFF2-40B4-BE49-F238E27FC236}">
                <a16:creationId xmlns:a16="http://schemas.microsoft.com/office/drawing/2014/main" id="{00000000-0008-0000-0200-000091080000}"/>
              </a:ext>
            </a:extLst>
          </xdr:cNvPr>
          <xdr:cNvSpPr txBox="1"/>
        </xdr:nvSpPr>
        <xdr:spPr>
          <a:xfrm rot="21300000">
            <a:off x="232446" y="172311085"/>
            <a:ext cx="1097280" cy="641154"/>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external factors</a:t>
            </a:r>
            <a:endParaRPr lang="en-US" sz="1400"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7</xdr:col>
      <xdr:colOff>240065</xdr:colOff>
      <xdr:row>787</xdr:row>
      <xdr:rowOff>68605</xdr:rowOff>
    </xdr:from>
    <xdr:to>
      <xdr:col>12</xdr:col>
      <xdr:colOff>400039</xdr:colOff>
      <xdr:row>792</xdr:row>
      <xdr:rowOff>17426</xdr:rowOff>
    </xdr:to>
    <xdr:grpSp>
      <xdr:nvGrpSpPr>
        <xdr:cNvPr id="26" name="Group 25">
          <a:extLst>
            <a:ext uri="{FF2B5EF4-FFF2-40B4-BE49-F238E27FC236}">
              <a16:creationId xmlns:a16="http://schemas.microsoft.com/office/drawing/2014/main" id="{00000000-0008-0000-0200-00001A000000}"/>
            </a:ext>
          </a:extLst>
        </xdr:cNvPr>
        <xdr:cNvGrpSpPr/>
      </xdr:nvGrpSpPr>
      <xdr:grpSpPr>
        <a:xfrm>
          <a:off x="3371885" y="154693645"/>
          <a:ext cx="2674574" cy="825121"/>
          <a:chOff x="3470945" y="172166305"/>
          <a:chExt cx="2636474" cy="825121"/>
        </a:xfrm>
      </xdr:grpSpPr>
      <xdr:grpSp>
        <xdr:nvGrpSpPr>
          <xdr:cNvPr id="2187" name="Group 2186">
            <a:extLst>
              <a:ext uri="{FF2B5EF4-FFF2-40B4-BE49-F238E27FC236}">
                <a16:creationId xmlns:a16="http://schemas.microsoft.com/office/drawing/2014/main" id="{00000000-0008-0000-0200-00008B080000}"/>
              </a:ext>
            </a:extLst>
          </xdr:cNvPr>
          <xdr:cNvGrpSpPr/>
        </xdr:nvGrpSpPr>
        <xdr:grpSpPr>
          <a:xfrm>
            <a:off x="3619504" y="172701867"/>
            <a:ext cx="2285999" cy="289559"/>
            <a:chOff x="6423133" y="11381929"/>
            <a:chExt cx="2733954" cy="494688"/>
          </a:xfrm>
          <a:effectLst>
            <a:outerShdw blurRad="63500" sx="102000" sy="102000" algn="ctr" rotWithShape="0">
              <a:prstClr val="black">
                <a:alpha val="40000"/>
              </a:prstClr>
            </a:outerShdw>
          </a:effectLst>
        </xdr:grpSpPr>
        <xdr:sp macro="" textlink="">
          <xdr:nvSpPr>
            <xdr:cNvPr id="2188" name="Right Brace 2187">
              <a:extLst>
                <a:ext uri="{FF2B5EF4-FFF2-40B4-BE49-F238E27FC236}">
                  <a16:creationId xmlns:a16="http://schemas.microsoft.com/office/drawing/2014/main" id="{00000000-0008-0000-0200-00008C080000}"/>
                </a:ext>
              </a:extLst>
            </xdr:cNvPr>
            <xdr:cNvSpPr/>
          </xdr:nvSpPr>
          <xdr:spPr>
            <a:xfrm rot="5700000">
              <a:off x="7697894" y="10763672"/>
              <a:ext cx="182880" cy="1828799"/>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190" name="Right Bracket 2189">
              <a:extLst>
                <a:ext uri="{FF2B5EF4-FFF2-40B4-BE49-F238E27FC236}">
                  <a16:creationId xmlns:a16="http://schemas.microsoft.com/office/drawing/2014/main" id="{00000000-0008-0000-0200-00008E080000}"/>
                </a:ext>
              </a:extLst>
            </xdr:cNvPr>
            <xdr:cNvSpPr/>
          </xdr:nvSpPr>
          <xdr:spPr>
            <a:xfrm rot="5400000">
              <a:off x="6839269" y="10965793"/>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91" name="Right Bracket 2190">
              <a:extLst>
                <a:ext uri="{FF2B5EF4-FFF2-40B4-BE49-F238E27FC236}">
                  <a16:creationId xmlns:a16="http://schemas.microsoft.com/office/drawing/2014/main" id="{00000000-0008-0000-0200-00008F080000}"/>
                </a:ext>
              </a:extLst>
            </xdr:cNvPr>
            <xdr:cNvSpPr/>
          </xdr:nvSpPr>
          <xdr:spPr>
            <a:xfrm rot="5400000">
              <a:off x="8658823" y="11178418"/>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92" name="Flowchart: Delay 2191">
              <a:extLst>
                <a:ext uri="{FF2B5EF4-FFF2-40B4-BE49-F238E27FC236}">
                  <a16:creationId xmlns:a16="http://schemas.microsoft.com/office/drawing/2014/main" id="{00000000-0008-0000-0200-00009008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sp macro="" textlink="">
        <xdr:nvSpPr>
          <xdr:cNvPr id="2195" name="TextBox 2194">
            <a:extLst>
              <a:ext uri="{FF2B5EF4-FFF2-40B4-BE49-F238E27FC236}">
                <a16:creationId xmlns:a16="http://schemas.microsoft.com/office/drawing/2014/main" id="{00000000-0008-0000-0200-000093080000}"/>
              </a:ext>
            </a:extLst>
          </xdr:cNvPr>
          <xdr:cNvSpPr txBox="1"/>
        </xdr:nvSpPr>
        <xdr:spPr>
          <a:xfrm rot="300000">
            <a:off x="5010139" y="172303468"/>
            <a:ext cx="1097280" cy="640080"/>
          </a:xfrm>
          <a:prstGeom prst="rect">
            <a:avLst/>
          </a:prstGeom>
          <a:solidFill>
            <a:srgbClr val="A0FFCD">
              <a:alpha val="20000"/>
            </a:srgbClr>
          </a:solidFill>
          <a:ln w="9525" cmpd="sng">
            <a:solidFill>
              <a:srgbClr val="00B05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internal factors</a:t>
            </a:r>
          </a:p>
        </xdr:txBody>
      </xdr:sp>
      <xdr:sp macro="" textlink="">
        <xdr:nvSpPr>
          <xdr:cNvPr id="2196" name="TextBox 2195">
            <a:extLst>
              <a:ext uri="{FF2B5EF4-FFF2-40B4-BE49-F238E27FC236}">
                <a16:creationId xmlns:a16="http://schemas.microsoft.com/office/drawing/2014/main" id="{00000000-0008-0000-0200-000094080000}"/>
              </a:ext>
            </a:extLst>
          </xdr:cNvPr>
          <xdr:cNvSpPr txBox="1"/>
        </xdr:nvSpPr>
        <xdr:spPr>
          <a:xfrm rot="300000">
            <a:off x="3470945" y="172166305"/>
            <a:ext cx="1097280" cy="641154"/>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external</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factors</a:t>
            </a:r>
          </a:p>
        </xdr:txBody>
      </xdr:sp>
    </xdr:grpSp>
    <xdr:clientData/>
  </xdr:twoCellAnchor>
  <xdr:twoCellAnchor>
    <xdr:from>
      <xdr:col>5</xdr:col>
      <xdr:colOff>457558</xdr:colOff>
      <xdr:row>816</xdr:row>
      <xdr:rowOff>151851</xdr:rowOff>
    </xdr:from>
    <xdr:to>
      <xdr:col>6</xdr:col>
      <xdr:colOff>189515</xdr:colOff>
      <xdr:row>818</xdr:row>
      <xdr:rowOff>54693</xdr:rowOff>
    </xdr:to>
    <xdr:sp macro="" textlink="">
      <xdr:nvSpPr>
        <xdr:cNvPr id="2210" name="Freeform: Shape 2209">
          <a:extLst>
            <a:ext uri="{FF2B5EF4-FFF2-40B4-BE49-F238E27FC236}">
              <a16:creationId xmlns:a16="http://schemas.microsoft.com/office/drawing/2014/main" id="{00000000-0008-0000-0200-0000A2080000}"/>
            </a:ext>
          </a:extLst>
        </xdr:cNvPr>
        <xdr:cNvSpPr/>
      </xdr:nvSpPr>
      <xdr:spPr>
        <a:xfrm>
          <a:off x="2560678" y="120098271"/>
          <a:ext cx="227257" cy="25336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3C1E5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816</xdr:row>
      <xdr:rowOff>151851</xdr:rowOff>
    </xdr:from>
    <xdr:to>
      <xdr:col>8</xdr:col>
      <xdr:colOff>27809</xdr:colOff>
      <xdr:row>818</xdr:row>
      <xdr:rowOff>54693</xdr:rowOff>
    </xdr:to>
    <xdr:sp macro="" textlink="">
      <xdr:nvSpPr>
        <xdr:cNvPr id="2211" name="Freeform: Shape 2210">
          <a:extLst>
            <a:ext uri="{FF2B5EF4-FFF2-40B4-BE49-F238E27FC236}">
              <a16:creationId xmlns:a16="http://schemas.microsoft.com/office/drawing/2014/main" id="{00000000-0008-0000-0200-0000A3080000}"/>
            </a:ext>
          </a:extLst>
        </xdr:cNvPr>
        <xdr:cNvSpPr/>
      </xdr:nvSpPr>
      <xdr:spPr>
        <a:xfrm flipH="1">
          <a:off x="3389572" y="120098271"/>
          <a:ext cx="227257" cy="25336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chemeClr val="accent6">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96519</xdr:colOff>
      <xdr:row>812</xdr:row>
      <xdr:rowOff>78106</xdr:rowOff>
    </xdr:from>
    <xdr:to>
      <xdr:col>13</xdr:col>
      <xdr:colOff>25072</xdr:colOff>
      <xdr:row>819</xdr:row>
      <xdr:rowOff>61326</xdr:rowOff>
    </xdr:to>
    <xdr:grpSp>
      <xdr:nvGrpSpPr>
        <xdr:cNvPr id="2212" name="Group 2211">
          <a:extLst>
            <a:ext uri="{FF2B5EF4-FFF2-40B4-BE49-F238E27FC236}">
              <a16:creationId xmlns:a16="http://schemas.microsoft.com/office/drawing/2014/main" id="{00000000-0008-0000-0200-0000A4080000}"/>
            </a:ext>
          </a:extLst>
        </xdr:cNvPr>
        <xdr:cNvGrpSpPr/>
      </xdr:nvGrpSpPr>
      <xdr:grpSpPr>
        <a:xfrm>
          <a:off x="96519" y="159084646"/>
          <a:ext cx="6077893" cy="1210040"/>
          <a:chOff x="104139" y="3125966"/>
          <a:chExt cx="5994073" cy="879205"/>
        </a:xfrm>
      </xdr:grpSpPr>
      <xdr:sp macro="" textlink="">
        <xdr:nvSpPr>
          <xdr:cNvPr id="2213" name="Rectangle 2212">
            <a:extLst>
              <a:ext uri="{FF2B5EF4-FFF2-40B4-BE49-F238E27FC236}">
                <a16:creationId xmlns:a16="http://schemas.microsoft.com/office/drawing/2014/main" id="{00000000-0008-0000-0200-0000A5080000}"/>
              </a:ext>
            </a:extLst>
          </xdr:cNvPr>
          <xdr:cNvSpPr/>
        </xdr:nvSpPr>
        <xdr:spPr>
          <a:xfrm>
            <a:off x="2653455" y="3125966"/>
            <a:ext cx="931916" cy="879205"/>
          </a:xfrm>
          <a:prstGeom prst="rect">
            <a:avLst/>
          </a:prstGeom>
          <a:noFill/>
        </xdr:spPr>
        <xdr:txBody>
          <a:bodyPr wrap="none" lIns="91440" tIns="45720" rIns="91440" bIns="45720">
            <a:noAutofit/>
          </a:bodyPr>
          <a:lstStyle/>
          <a:p>
            <a:pPr algn="ctr">
              <a:lnSpc>
                <a:spcPts val="9600"/>
              </a:lnSpc>
            </a:pPr>
            <a:r>
              <a:rPr lang="en-US" sz="9600" b="1" cap="none" spc="0">
                <a:ln w="38100">
                  <a:solidFill>
                    <a:srgbClr val="730000"/>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2214" name="Speech Bubble: Rectangle with Corners Rounded 2213">
            <a:extLst>
              <a:ext uri="{FF2B5EF4-FFF2-40B4-BE49-F238E27FC236}">
                <a16:creationId xmlns:a16="http://schemas.microsoft.com/office/drawing/2014/main" id="{00000000-0008-0000-0200-0000A6080000}"/>
              </a:ext>
            </a:extLst>
          </xdr:cNvPr>
          <xdr:cNvSpPr/>
        </xdr:nvSpPr>
        <xdr:spPr>
          <a:xfrm flipH="1">
            <a:off x="3556180" y="3315537"/>
            <a:ext cx="2542032" cy="658927"/>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15" name="Speech Bubble: Rectangle with Corners Rounded 2214">
            <a:extLst>
              <a:ext uri="{FF2B5EF4-FFF2-40B4-BE49-F238E27FC236}">
                <a16:creationId xmlns:a16="http://schemas.microsoft.com/office/drawing/2014/main" id="{00000000-0008-0000-0200-0000A7080000}"/>
              </a:ext>
            </a:extLst>
          </xdr:cNvPr>
          <xdr:cNvSpPr/>
        </xdr:nvSpPr>
        <xdr:spPr>
          <a:xfrm>
            <a:off x="104139" y="3315537"/>
            <a:ext cx="2542032" cy="658927"/>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7</xdr:col>
      <xdr:colOff>5715</xdr:colOff>
      <xdr:row>813</xdr:row>
      <xdr:rowOff>59055</xdr:rowOff>
    </xdr:from>
    <xdr:to>
      <xdr:col>13</xdr:col>
      <xdr:colOff>51435</xdr:colOff>
      <xdr:row>823</xdr:row>
      <xdr:rowOff>135255</xdr:rowOff>
    </xdr:to>
    <xdr:sp macro="" textlink="">
      <xdr:nvSpPr>
        <xdr:cNvPr id="2218" name="TextBox 2217">
          <a:extLst>
            <a:ext uri="{FF2B5EF4-FFF2-40B4-BE49-F238E27FC236}">
              <a16:creationId xmlns:a16="http://schemas.microsoft.com/office/drawing/2014/main" id="{00000000-0008-0000-0200-0000AA080000}"/>
            </a:ext>
          </a:extLst>
        </xdr:cNvPr>
        <xdr:cNvSpPr txBox="1"/>
      </xdr:nvSpPr>
      <xdr:spPr>
        <a:xfrm>
          <a:off x="3034665" y="155888055"/>
          <a:ext cx="2960370" cy="1762125"/>
        </a:xfrm>
        <a:prstGeom prst="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182880" rtlCol="0" anchor="b"/>
        <a:lstStyle/>
        <a:p>
          <a:pPr algn="r">
            <a:spcBef>
              <a:spcPts val="0"/>
            </a:spcBef>
            <a:spcAft>
              <a:spcPts val="600"/>
            </a:spcAft>
          </a:pPr>
          <a:r>
            <a:rPr lang="en-US" sz="2000" b="1" baseline="0">
              <a:solidFill>
                <a:srgbClr val="00B050"/>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An uncommon mature response?</a:t>
          </a:r>
        </a:p>
      </xdr:txBody>
    </xdr:sp>
    <xdr:clientData/>
  </xdr:twoCellAnchor>
  <xdr:twoCellAnchor>
    <xdr:from>
      <xdr:col>1</xdr:col>
      <xdr:colOff>15240</xdr:colOff>
      <xdr:row>694</xdr:row>
      <xdr:rowOff>99060</xdr:rowOff>
    </xdr:from>
    <xdr:to>
      <xdr:col>13</xdr:col>
      <xdr:colOff>0</xdr:colOff>
      <xdr:row>698</xdr:row>
      <xdr:rowOff>144780</xdr:rowOff>
    </xdr:to>
    <xdr:sp macro="" textlink="">
      <xdr:nvSpPr>
        <xdr:cNvPr id="2222" name="TextBox 2221">
          <a:extLst>
            <a:ext uri="{FF2B5EF4-FFF2-40B4-BE49-F238E27FC236}">
              <a16:creationId xmlns:a16="http://schemas.microsoft.com/office/drawing/2014/main" id="{00000000-0008-0000-0200-0000AE080000}"/>
            </a:ext>
          </a:extLst>
        </xdr:cNvPr>
        <xdr:cNvSpPr txBox="1"/>
      </xdr:nvSpPr>
      <xdr:spPr>
        <a:xfrm>
          <a:off x="137160" y="127490220"/>
          <a:ext cx="5928360" cy="746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150" b="0">
              <a:latin typeface="Tahoma" panose="020B0604030504040204" pitchFamily="34" charset="0"/>
              <a:ea typeface="Tahoma" panose="020B0604030504040204" pitchFamily="34" charset="0"/>
              <a:cs typeface="Tahoma" panose="020B0604030504040204" pitchFamily="34" charset="0"/>
            </a:rPr>
            <a:t>Political elites</a:t>
          </a:r>
          <a:r>
            <a:rPr lang="en-US" sz="1150" b="0" baseline="0">
              <a:latin typeface="Tahoma" panose="020B0604030504040204" pitchFamily="34" charset="0"/>
              <a:ea typeface="Tahoma" panose="020B0604030504040204" pitchFamily="34" charset="0"/>
              <a:cs typeface="Tahoma" panose="020B0604030504040204" pitchFamily="34" charset="0"/>
            </a:rPr>
            <a:t> rise to their positions of influence largely from accessing resources to resolve </a:t>
          </a:r>
          <a:r>
            <a:rPr lang="en-US" sz="1150" b="0" spc="-10" baseline="0">
              <a:latin typeface="Tahoma" panose="020B0604030504040204" pitchFamily="34" charset="0"/>
              <a:ea typeface="Tahoma" panose="020B0604030504040204" pitchFamily="34" charset="0"/>
              <a:cs typeface="Tahoma" panose="020B0604030504040204" pitchFamily="34" charset="0"/>
            </a:rPr>
            <a:t>needs at a level foreign to you. </a:t>
          </a:r>
          <a:r>
            <a:rPr lang="en-US" sz="1150" b="0" spc="-10">
              <a:latin typeface="Tahoma" panose="020B0604030504040204" pitchFamily="34" charset="0"/>
              <a:ea typeface="Tahoma" panose="020B0604030504040204" pitchFamily="34" charset="0"/>
              <a:cs typeface="Tahoma" panose="020B0604030504040204" pitchFamily="34" charset="0"/>
            </a:rPr>
            <a:t>Through</a:t>
          </a:r>
          <a:r>
            <a:rPr lang="en-US" sz="1150" b="0" spc="-10" baseline="0">
              <a:latin typeface="Tahoma" panose="020B0604030504040204" pitchFamily="34" charset="0"/>
              <a:ea typeface="Tahoma" panose="020B0604030504040204" pitchFamily="34" charset="0"/>
              <a:cs typeface="Tahoma" panose="020B0604030504040204" pitchFamily="34" charset="0"/>
            </a:rPr>
            <a:t> the lens of their more resolved psychosocial needs</a:t>
          </a:r>
          <a:r>
            <a:rPr lang="en-US" sz="1150" b="0" baseline="0">
              <a:latin typeface="Tahoma" panose="020B0604030504040204" pitchFamily="34" charset="0"/>
              <a:ea typeface="Tahoma" panose="020B0604030504040204" pitchFamily="34" charset="0"/>
              <a:cs typeface="Tahoma" panose="020B0604030504040204" pitchFamily="34" charset="0"/>
            </a:rPr>
            <a:t>, political centricism expressed in neoliberalism makes clear sense. How we put up with it remains a little cloudy. At least until now.</a:t>
          </a:r>
        </a:p>
      </xdr:txBody>
    </xdr:sp>
    <xdr:clientData/>
  </xdr:twoCellAnchor>
  <xdr:twoCellAnchor>
    <xdr:from>
      <xdr:col>1</xdr:col>
      <xdr:colOff>230520</xdr:colOff>
      <xdr:row>877</xdr:row>
      <xdr:rowOff>114300</xdr:rowOff>
    </xdr:from>
    <xdr:to>
      <xdr:col>12</xdr:col>
      <xdr:colOff>268620</xdr:colOff>
      <xdr:row>885</xdr:row>
      <xdr:rowOff>83820</xdr:rowOff>
    </xdr:to>
    <xdr:sp macro="" textlink="">
      <xdr:nvSpPr>
        <xdr:cNvPr id="2422" name="TextBox 2421">
          <a:extLst>
            <a:ext uri="{FF2B5EF4-FFF2-40B4-BE49-F238E27FC236}">
              <a16:creationId xmlns:a16="http://schemas.microsoft.com/office/drawing/2014/main" id="{00000000-0008-0000-0200-000076090000}"/>
            </a:ext>
          </a:extLst>
        </xdr:cNvPr>
        <xdr:cNvSpPr txBox="1"/>
      </xdr:nvSpPr>
      <xdr:spPr>
        <a:xfrm>
          <a:off x="352440" y="170741340"/>
          <a:ext cx="5486400" cy="1371600"/>
        </a:xfrm>
        <a:prstGeom prst="rect">
          <a:avLst/>
        </a:prstGeom>
        <a:noFill/>
        <a:ln w="9525" cmpd="sng">
          <a:solidFill>
            <a:srgbClr val="FF99FF">
              <a:alpha val="25000"/>
            </a:srgbClr>
          </a:solidFill>
        </a:ln>
        <a:effectLst>
          <a:outerShdw blurRad="63500" sx="102000" sy="102000" algn="ctr" rotWithShape="0">
            <a:srgbClr val="FF99FF">
              <a:alpha val="75000"/>
            </a:srgb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400" baseline="0">
              <a:solidFill>
                <a:srgbClr val="FF99FF"/>
              </a:solidFill>
              <a:latin typeface="Arial" panose="020B0604020202020204" pitchFamily="34" charset="0"/>
              <a:cs typeface="Arial" panose="020B0604020202020204" pitchFamily="34" charset="0"/>
            </a:rPr>
            <a:t>When stuck in </a:t>
          </a:r>
          <a:r>
            <a:rPr lang="en-US" sz="1400" baseline="0">
              <a:solidFill>
                <a:srgbClr val="FFFF00"/>
              </a:solidFill>
              <a:latin typeface="Arial" panose="020B0604020202020204" pitchFamily="34" charset="0"/>
              <a:cs typeface="Arial" panose="020B0604020202020204" pitchFamily="34" charset="0"/>
            </a:rPr>
            <a:t>pain</a:t>
          </a:r>
          <a:r>
            <a:rPr lang="en-US" sz="1400" baseline="0">
              <a:solidFill>
                <a:srgbClr val="FF99FF"/>
              </a:solidFill>
              <a:latin typeface="Arial" panose="020B0604020202020204" pitchFamily="34" charset="0"/>
              <a:cs typeface="Arial" panose="020B0604020202020204" pitchFamily="34" charset="0"/>
            </a:rPr>
            <a:t>,</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fast relief</a:t>
          </a:r>
        </a:p>
        <a:p>
          <a:pPr algn="ctr"/>
          <a:r>
            <a:rPr lang="en-US" sz="1400" b="0" baseline="0">
              <a:solidFill>
                <a:srgbClr val="FF99FF"/>
              </a:solidFill>
              <a:latin typeface="Arial Narrow" panose="020B0606020202030204" pitchFamily="34" charset="0"/>
            </a:rPr>
            <a:t>seems far more important than</a:t>
          </a:r>
          <a:r>
            <a:rPr lang="en-US" sz="1400" b="1" baseline="0">
              <a:solidFill>
                <a:srgbClr val="FF99FF"/>
              </a:solidFill>
            </a:rPr>
            <a:t> </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slow reason</a:t>
          </a: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230520</xdr:colOff>
      <xdr:row>885</xdr:row>
      <xdr:rowOff>9310</xdr:rowOff>
    </xdr:from>
    <xdr:to>
      <xdr:col>12</xdr:col>
      <xdr:colOff>268620</xdr:colOff>
      <xdr:row>897</xdr:row>
      <xdr:rowOff>100750</xdr:rowOff>
    </xdr:to>
    <xdr:sp macro="" textlink="">
      <xdr:nvSpPr>
        <xdr:cNvPr id="2423" name="TextBox 2422">
          <a:extLst>
            <a:ext uri="{FF2B5EF4-FFF2-40B4-BE49-F238E27FC236}">
              <a16:creationId xmlns:a16="http://schemas.microsoft.com/office/drawing/2014/main" id="{00000000-0008-0000-0200-000077090000}"/>
            </a:ext>
          </a:extLst>
        </xdr:cNvPr>
        <xdr:cNvSpPr txBox="1"/>
      </xdr:nvSpPr>
      <xdr:spPr>
        <a:xfrm>
          <a:off x="352440" y="172038430"/>
          <a:ext cx="5486400" cy="2194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But politial elites</a:t>
          </a:r>
        </a:p>
        <a:p>
          <a:pPr algn="ctr"/>
          <a:r>
            <a:rPr lang="en-US" sz="1400" b="0" baseline="0">
              <a:solidFill>
                <a:srgbClr val="FF99FF"/>
              </a:solidFill>
              <a:latin typeface="Arial Narrow" panose="020B0606020202030204" pitchFamily="34" charset="0"/>
            </a:rPr>
            <a:t>expect and depend on you to favor</a:t>
          </a:r>
        </a:p>
        <a:p>
          <a:pPr algn="ctr"/>
          <a:r>
            <a:rPr lang="en-US" sz="1600" b="1" baseline="0">
              <a:solidFill>
                <a:srgbClr val="FF99FF"/>
              </a:solidFill>
              <a:latin typeface="Tahoma" panose="020B0604030504040204" pitchFamily="34" charset="0"/>
              <a:ea typeface="Tahoma" panose="020B0604030504040204" pitchFamily="34" charset="0"/>
              <a:cs typeface="Tahoma" panose="020B0604030504040204" pitchFamily="34" charset="0"/>
            </a:rPr>
            <a:t>fast generalizing relief </a:t>
          </a:r>
        </a:p>
        <a:p>
          <a:pPr algn="ctr"/>
          <a:r>
            <a:rPr lang="en-US" sz="1800" b="0" i="1" baseline="0">
              <a:solidFill>
                <a:srgbClr val="FF99FF"/>
              </a:solidFill>
              <a:latin typeface="Arial Narrow" panose="020B0606020202030204" pitchFamily="34" charset="0"/>
            </a:rPr>
            <a:t>over</a:t>
          </a:r>
          <a:r>
            <a:rPr lang="en-US" sz="1400" b="1" baseline="0">
              <a:solidFill>
                <a:srgbClr val="FF99FF"/>
              </a:solidFill>
            </a:rPr>
            <a:t> </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slow reason</a:t>
          </a: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 </a:t>
          </a:r>
        </a:p>
        <a:p>
          <a:pPr algn="ct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to keep them in power</a:t>
          </a:r>
        </a:p>
        <a:p>
          <a:pPr algn="ct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over your expected inability to respond to specific needs.</a:t>
          </a:r>
        </a:p>
      </xdr:txBody>
    </xdr:sp>
    <xdr:clientData/>
  </xdr:twoCellAnchor>
  <xdr:twoCellAnchor>
    <xdr:from>
      <xdr:col>0</xdr:col>
      <xdr:colOff>114300</xdr:colOff>
      <xdr:row>586</xdr:row>
      <xdr:rowOff>36518</xdr:rowOff>
    </xdr:from>
    <xdr:to>
      <xdr:col>12</xdr:col>
      <xdr:colOff>487680</xdr:colOff>
      <xdr:row>597</xdr:row>
      <xdr:rowOff>130525</xdr:rowOff>
    </xdr:to>
    <xdr:grpSp>
      <xdr:nvGrpSpPr>
        <xdr:cNvPr id="34" name="Group 33">
          <a:extLst>
            <a:ext uri="{FF2B5EF4-FFF2-40B4-BE49-F238E27FC236}">
              <a16:creationId xmlns:a16="http://schemas.microsoft.com/office/drawing/2014/main" id="{00000000-0008-0000-0200-000022000000}"/>
            </a:ext>
          </a:extLst>
        </xdr:cNvPr>
        <xdr:cNvGrpSpPr/>
      </xdr:nvGrpSpPr>
      <xdr:grpSpPr>
        <a:xfrm>
          <a:off x="114300" y="116256758"/>
          <a:ext cx="6019800" cy="2021867"/>
          <a:chOff x="22860" y="115845278"/>
          <a:chExt cx="6134100" cy="2021867"/>
        </a:xfrm>
      </xdr:grpSpPr>
      <xdr:sp macro="" textlink="">
        <xdr:nvSpPr>
          <xdr:cNvPr id="2425" name="Block Arc 2424">
            <a:extLst>
              <a:ext uri="{FF2B5EF4-FFF2-40B4-BE49-F238E27FC236}">
                <a16:creationId xmlns:a16="http://schemas.microsoft.com/office/drawing/2014/main" id="{00000000-0008-0000-0200-000079090000}"/>
              </a:ext>
            </a:extLst>
          </xdr:cNvPr>
          <xdr:cNvSpPr/>
        </xdr:nvSpPr>
        <xdr:spPr>
          <a:xfrm>
            <a:off x="3581400" y="116799360"/>
            <a:ext cx="2575560" cy="350520"/>
          </a:xfrm>
          <a:prstGeom prst="blockArc">
            <a:avLst/>
          </a:prstGeom>
          <a:pattFill prst="shingle">
            <a:fgClr>
              <a:srgbClr val="FF7171"/>
            </a:fgClr>
            <a:bgClr>
              <a:schemeClr val="bg1"/>
            </a:bgClr>
          </a:pattFill>
          <a:ln w="3175">
            <a:solidFill>
              <a:srgbClr val="FF717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32" name="Block Arc 31">
            <a:extLst>
              <a:ext uri="{FF2B5EF4-FFF2-40B4-BE49-F238E27FC236}">
                <a16:creationId xmlns:a16="http://schemas.microsoft.com/office/drawing/2014/main" id="{00000000-0008-0000-0200-000020000000}"/>
              </a:ext>
            </a:extLst>
          </xdr:cNvPr>
          <xdr:cNvSpPr/>
        </xdr:nvSpPr>
        <xdr:spPr>
          <a:xfrm>
            <a:off x="22860" y="116799360"/>
            <a:ext cx="2575560" cy="350520"/>
          </a:xfrm>
          <a:prstGeom prst="blockArc">
            <a:avLst/>
          </a:prstGeom>
          <a:pattFill prst="shingle">
            <a:fgClr>
              <a:srgbClr val="00B0F0"/>
            </a:fgClr>
            <a:bgClr>
              <a:schemeClr val="bg1"/>
            </a:bgClr>
          </a:pattFill>
          <a:ln w="3175">
            <a:solidFill>
              <a:srgbClr val="00B0F0"/>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nvGrpSpPr>
          <xdr:cNvPr id="167" name="Group 166">
            <a:extLst>
              <a:ext uri="{FF2B5EF4-FFF2-40B4-BE49-F238E27FC236}">
                <a16:creationId xmlns:a16="http://schemas.microsoft.com/office/drawing/2014/main" id="{00000000-0008-0000-0200-0000A7000000}"/>
              </a:ext>
            </a:extLst>
          </xdr:cNvPr>
          <xdr:cNvGrpSpPr/>
        </xdr:nvGrpSpPr>
        <xdr:grpSpPr>
          <a:xfrm>
            <a:off x="37336" y="115845278"/>
            <a:ext cx="6092519" cy="2021867"/>
            <a:chOff x="295784" y="107859518"/>
            <a:chExt cx="5607875" cy="2021867"/>
          </a:xfrm>
        </xdr:grpSpPr>
        <xdr:grpSp>
          <xdr:nvGrpSpPr>
            <xdr:cNvPr id="1274" name="Group 1273">
              <a:extLst>
                <a:ext uri="{FF2B5EF4-FFF2-40B4-BE49-F238E27FC236}">
                  <a16:creationId xmlns:a16="http://schemas.microsoft.com/office/drawing/2014/main" id="{00000000-0008-0000-0200-0000FA040000}"/>
                </a:ext>
              </a:extLst>
            </xdr:cNvPr>
            <xdr:cNvGrpSpPr>
              <a:grpSpLocks noChangeAspect="1"/>
            </xdr:cNvGrpSpPr>
          </xdr:nvGrpSpPr>
          <xdr:grpSpPr>
            <a:xfrm>
              <a:off x="3672553" y="107859518"/>
              <a:ext cx="790042" cy="1982459"/>
              <a:chOff x="14944724" y="104774999"/>
              <a:chExt cx="1371601" cy="3409948"/>
            </a:xfrm>
          </xdr:grpSpPr>
          <xdr:grpSp>
            <xdr:nvGrpSpPr>
              <xdr:cNvPr id="1275" name="Group 1274">
                <a:extLst>
                  <a:ext uri="{FF2B5EF4-FFF2-40B4-BE49-F238E27FC236}">
                    <a16:creationId xmlns:a16="http://schemas.microsoft.com/office/drawing/2014/main" id="{00000000-0008-0000-0200-0000FB040000}"/>
                  </a:ext>
                </a:extLst>
              </xdr:cNvPr>
              <xdr:cNvGrpSpPr/>
            </xdr:nvGrpSpPr>
            <xdr:grpSpPr>
              <a:xfrm>
                <a:off x="14944724" y="105441747"/>
                <a:ext cx="1053296" cy="2743200"/>
                <a:chOff x="14944724" y="105441747"/>
                <a:chExt cx="1053296" cy="2743200"/>
              </a:xfrm>
            </xdr:grpSpPr>
            <xdr:grpSp>
              <xdr:nvGrpSpPr>
                <xdr:cNvPr id="1277" name="Group 1276">
                  <a:extLst>
                    <a:ext uri="{FF2B5EF4-FFF2-40B4-BE49-F238E27FC236}">
                      <a16:creationId xmlns:a16="http://schemas.microsoft.com/office/drawing/2014/main" id="{00000000-0008-0000-0200-0000FD04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282" name="Rectangle: Rounded Corners 1281">
                    <a:extLst>
                      <a:ext uri="{FF2B5EF4-FFF2-40B4-BE49-F238E27FC236}">
                        <a16:creationId xmlns:a16="http://schemas.microsoft.com/office/drawing/2014/main" id="{00000000-0008-0000-0200-00000205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3" name="Rectangle: Rounded Corners 1282">
                    <a:extLst>
                      <a:ext uri="{FF2B5EF4-FFF2-40B4-BE49-F238E27FC236}">
                        <a16:creationId xmlns:a16="http://schemas.microsoft.com/office/drawing/2014/main" id="{00000000-0008-0000-0200-00000305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4" name="Rectangle: Rounded Corners 1283">
                    <a:extLst>
                      <a:ext uri="{FF2B5EF4-FFF2-40B4-BE49-F238E27FC236}">
                        <a16:creationId xmlns:a16="http://schemas.microsoft.com/office/drawing/2014/main" id="{00000000-0008-0000-0200-00000405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5" name="Rectangle: Rounded Corners 1284">
                    <a:extLst>
                      <a:ext uri="{FF2B5EF4-FFF2-40B4-BE49-F238E27FC236}">
                        <a16:creationId xmlns:a16="http://schemas.microsoft.com/office/drawing/2014/main" id="{00000000-0008-0000-0200-00000505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6" name="Rectangle: Rounded Corners 1285">
                    <a:extLst>
                      <a:ext uri="{FF2B5EF4-FFF2-40B4-BE49-F238E27FC236}">
                        <a16:creationId xmlns:a16="http://schemas.microsoft.com/office/drawing/2014/main" id="{00000000-0008-0000-0200-00000605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7" name="Rectangle: Rounded Corners 1286">
                    <a:extLst>
                      <a:ext uri="{FF2B5EF4-FFF2-40B4-BE49-F238E27FC236}">
                        <a16:creationId xmlns:a16="http://schemas.microsoft.com/office/drawing/2014/main" id="{00000000-0008-0000-0200-00000705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8" name="Rectangle: Rounded Corners 1287">
                    <a:extLst>
                      <a:ext uri="{FF2B5EF4-FFF2-40B4-BE49-F238E27FC236}">
                        <a16:creationId xmlns:a16="http://schemas.microsoft.com/office/drawing/2014/main" id="{00000000-0008-0000-0200-00000805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78" name="Group 1277">
                  <a:extLst>
                    <a:ext uri="{FF2B5EF4-FFF2-40B4-BE49-F238E27FC236}">
                      <a16:creationId xmlns:a16="http://schemas.microsoft.com/office/drawing/2014/main" id="{00000000-0008-0000-0200-0000FE040000}"/>
                    </a:ext>
                  </a:extLst>
                </xdr:cNvPr>
                <xdr:cNvGrpSpPr/>
              </xdr:nvGrpSpPr>
              <xdr:grpSpPr>
                <a:xfrm>
                  <a:off x="15001875" y="106064797"/>
                  <a:ext cx="953589" cy="1109382"/>
                  <a:chOff x="-11112" y="0"/>
                  <a:chExt cx="1112519" cy="1371600"/>
                </a:xfrm>
              </xdr:grpSpPr>
              <xdr:sp macro="" textlink="">
                <xdr:nvSpPr>
                  <xdr:cNvPr id="1279" name="Rectangle 1278">
                    <a:extLst>
                      <a:ext uri="{FF2B5EF4-FFF2-40B4-BE49-F238E27FC236}">
                        <a16:creationId xmlns:a16="http://schemas.microsoft.com/office/drawing/2014/main" id="{00000000-0008-0000-0200-0000FF04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280" name="Rectangle 1279">
                    <a:extLst>
                      <a:ext uri="{FF2B5EF4-FFF2-40B4-BE49-F238E27FC236}">
                        <a16:creationId xmlns:a16="http://schemas.microsoft.com/office/drawing/2014/main" id="{00000000-0008-0000-0200-00000005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281" name="Straight Connector 1280">
                    <a:extLst>
                      <a:ext uri="{FF2B5EF4-FFF2-40B4-BE49-F238E27FC236}">
                        <a16:creationId xmlns:a16="http://schemas.microsoft.com/office/drawing/2014/main" id="{00000000-0008-0000-0200-00000105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76" name="Thought Bubble: Cloud 1275">
                <a:extLst>
                  <a:ext uri="{FF2B5EF4-FFF2-40B4-BE49-F238E27FC236}">
                    <a16:creationId xmlns:a16="http://schemas.microsoft.com/office/drawing/2014/main" id="{00000000-0008-0000-0200-0000FC04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89" name="Group 1288">
              <a:extLst>
                <a:ext uri="{FF2B5EF4-FFF2-40B4-BE49-F238E27FC236}">
                  <a16:creationId xmlns:a16="http://schemas.microsoft.com/office/drawing/2014/main" id="{00000000-0008-0000-0200-000009050000}"/>
                </a:ext>
              </a:extLst>
            </xdr:cNvPr>
            <xdr:cNvGrpSpPr>
              <a:grpSpLocks noChangeAspect="1"/>
            </xdr:cNvGrpSpPr>
          </xdr:nvGrpSpPr>
          <xdr:grpSpPr>
            <a:xfrm>
              <a:off x="5228833" y="107882313"/>
              <a:ext cx="674826" cy="1982459"/>
              <a:chOff x="14921419" y="104774999"/>
              <a:chExt cx="1171575" cy="3409948"/>
            </a:xfrm>
          </xdr:grpSpPr>
          <xdr:grpSp>
            <xdr:nvGrpSpPr>
              <xdr:cNvPr id="1290" name="Group 1289">
                <a:extLst>
                  <a:ext uri="{FF2B5EF4-FFF2-40B4-BE49-F238E27FC236}">
                    <a16:creationId xmlns:a16="http://schemas.microsoft.com/office/drawing/2014/main" id="{00000000-0008-0000-0200-00000A050000}"/>
                  </a:ext>
                </a:extLst>
              </xdr:cNvPr>
              <xdr:cNvGrpSpPr/>
            </xdr:nvGrpSpPr>
            <xdr:grpSpPr>
              <a:xfrm>
                <a:off x="14944724" y="105441747"/>
                <a:ext cx="1053296" cy="2743200"/>
                <a:chOff x="14944724" y="105441747"/>
                <a:chExt cx="1053296" cy="2743200"/>
              </a:xfrm>
            </xdr:grpSpPr>
            <xdr:grpSp>
              <xdr:nvGrpSpPr>
                <xdr:cNvPr id="1292" name="Group 1291">
                  <a:extLst>
                    <a:ext uri="{FF2B5EF4-FFF2-40B4-BE49-F238E27FC236}">
                      <a16:creationId xmlns:a16="http://schemas.microsoft.com/office/drawing/2014/main" id="{00000000-0008-0000-0200-00000C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297" name="Rectangle: Rounded Corners 1296">
                    <a:extLst>
                      <a:ext uri="{FF2B5EF4-FFF2-40B4-BE49-F238E27FC236}">
                        <a16:creationId xmlns:a16="http://schemas.microsoft.com/office/drawing/2014/main" id="{00000000-0008-0000-0200-00001105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98" name="Rectangle: Rounded Corners 1297">
                    <a:extLst>
                      <a:ext uri="{FF2B5EF4-FFF2-40B4-BE49-F238E27FC236}">
                        <a16:creationId xmlns:a16="http://schemas.microsoft.com/office/drawing/2014/main" id="{00000000-0008-0000-0200-00001205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99" name="Rectangle: Rounded Corners 1298">
                    <a:extLst>
                      <a:ext uri="{FF2B5EF4-FFF2-40B4-BE49-F238E27FC236}">
                        <a16:creationId xmlns:a16="http://schemas.microsoft.com/office/drawing/2014/main" id="{00000000-0008-0000-0200-00001305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0" name="Rectangle: Rounded Corners 1299">
                    <a:extLst>
                      <a:ext uri="{FF2B5EF4-FFF2-40B4-BE49-F238E27FC236}">
                        <a16:creationId xmlns:a16="http://schemas.microsoft.com/office/drawing/2014/main" id="{00000000-0008-0000-0200-00001405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1" name="Rectangle: Rounded Corners 1300">
                    <a:extLst>
                      <a:ext uri="{FF2B5EF4-FFF2-40B4-BE49-F238E27FC236}">
                        <a16:creationId xmlns:a16="http://schemas.microsoft.com/office/drawing/2014/main" id="{00000000-0008-0000-0200-00001505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2" name="Rectangle: Rounded Corners 1301">
                    <a:extLst>
                      <a:ext uri="{FF2B5EF4-FFF2-40B4-BE49-F238E27FC236}">
                        <a16:creationId xmlns:a16="http://schemas.microsoft.com/office/drawing/2014/main" id="{00000000-0008-0000-0200-00001605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3" name="Rectangle: Rounded Corners 1302">
                    <a:extLst>
                      <a:ext uri="{FF2B5EF4-FFF2-40B4-BE49-F238E27FC236}">
                        <a16:creationId xmlns:a16="http://schemas.microsoft.com/office/drawing/2014/main" id="{00000000-0008-0000-0200-00001705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93" name="Group 1292">
                  <a:extLst>
                    <a:ext uri="{FF2B5EF4-FFF2-40B4-BE49-F238E27FC236}">
                      <a16:creationId xmlns:a16="http://schemas.microsoft.com/office/drawing/2014/main" id="{00000000-0008-0000-0200-00000D050000}"/>
                    </a:ext>
                  </a:extLst>
                </xdr:cNvPr>
                <xdr:cNvGrpSpPr/>
              </xdr:nvGrpSpPr>
              <xdr:grpSpPr>
                <a:xfrm>
                  <a:off x="15001875" y="106064797"/>
                  <a:ext cx="953589" cy="1109382"/>
                  <a:chOff x="-11112" y="0"/>
                  <a:chExt cx="1112519" cy="1371600"/>
                </a:xfrm>
              </xdr:grpSpPr>
              <xdr:sp macro="" textlink="">
                <xdr:nvSpPr>
                  <xdr:cNvPr id="1294" name="Rectangle 1293">
                    <a:extLst>
                      <a:ext uri="{FF2B5EF4-FFF2-40B4-BE49-F238E27FC236}">
                        <a16:creationId xmlns:a16="http://schemas.microsoft.com/office/drawing/2014/main" id="{00000000-0008-0000-0200-00000E05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295" name="Rectangle 1294">
                    <a:extLst>
                      <a:ext uri="{FF2B5EF4-FFF2-40B4-BE49-F238E27FC236}">
                        <a16:creationId xmlns:a16="http://schemas.microsoft.com/office/drawing/2014/main" id="{00000000-0008-0000-0200-00000F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296" name="Straight Connector 1295">
                    <a:extLst>
                      <a:ext uri="{FF2B5EF4-FFF2-40B4-BE49-F238E27FC236}">
                        <a16:creationId xmlns:a16="http://schemas.microsoft.com/office/drawing/2014/main" id="{00000000-0008-0000-0200-00001005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91" name="Thought Bubble: Cloud 1290">
                <a:extLst>
                  <a:ext uri="{FF2B5EF4-FFF2-40B4-BE49-F238E27FC236}">
                    <a16:creationId xmlns:a16="http://schemas.microsoft.com/office/drawing/2014/main" id="{00000000-0008-0000-0200-00000B050000}"/>
                  </a:ext>
                </a:extLst>
              </xdr:cNvPr>
              <xdr:cNvSpPr/>
            </xdr:nvSpPr>
            <xdr:spPr>
              <a:xfrm>
                <a:off x="14921419"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04" name="Group 1303">
              <a:extLst>
                <a:ext uri="{FF2B5EF4-FFF2-40B4-BE49-F238E27FC236}">
                  <a16:creationId xmlns:a16="http://schemas.microsoft.com/office/drawing/2014/main" id="{00000000-0008-0000-0200-000018050000}"/>
                </a:ext>
              </a:extLst>
            </xdr:cNvPr>
            <xdr:cNvGrpSpPr>
              <a:grpSpLocks noChangeAspect="1"/>
            </xdr:cNvGrpSpPr>
          </xdr:nvGrpSpPr>
          <xdr:grpSpPr>
            <a:xfrm>
              <a:off x="1817843" y="107859616"/>
              <a:ext cx="753916" cy="1968592"/>
              <a:chOff x="13365162" y="104827427"/>
              <a:chExt cx="1308883" cy="3386095"/>
            </a:xfrm>
          </xdr:grpSpPr>
          <xdr:grpSp>
            <xdr:nvGrpSpPr>
              <xdr:cNvPr id="1305" name="Group 1304">
                <a:extLst>
                  <a:ext uri="{FF2B5EF4-FFF2-40B4-BE49-F238E27FC236}">
                    <a16:creationId xmlns:a16="http://schemas.microsoft.com/office/drawing/2014/main" id="{00000000-0008-0000-0200-000019050000}"/>
                  </a:ext>
                </a:extLst>
              </xdr:cNvPr>
              <xdr:cNvGrpSpPr/>
            </xdr:nvGrpSpPr>
            <xdr:grpSpPr>
              <a:xfrm>
                <a:off x="13620749" y="105470322"/>
                <a:ext cx="1053296" cy="2743200"/>
                <a:chOff x="13620749" y="105470322"/>
                <a:chExt cx="1053296" cy="2743200"/>
              </a:xfrm>
            </xdr:grpSpPr>
            <xdr:grpSp>
              <xdr:nvGrpSpPr>
                <xdr:cNvPr id="1307" name="Group 1306">
                  <a:extLst>
                    <a:ext uri="{FF2B5EF4-FFF2-40B4-BE49-F238E27FC236}">
                      <a16:creationId xmlns:a16="http://schemas.microsoft.com/office/drawing/2014/main" id="{00000000-0008-0000-0200-00001B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12" name="Rectangle: Rounded Corners 1311">
                    <a:extLst>
                      <a:ext uri="{FF2B5EF4-FFF2-40B4-BE49-F238E27FC236}">
                        <a16:creationId xmlns:a16="http://schemas.microsoft.com/office/drawing/2014/main" id="{00000000-0008-0000-0200-00002005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3" name="Rectangle: Rounded Corners 1312">
                    <a:extLst>
                      <a:ext uri="{FF2B5EF4-FFF2-40B4-BE49-F238E27FC236}">
                        <a16:creationId xmlns:a16="http://schemas.microsoft.com/office/drawing/2014/main" id="{00000000-0008-0000-0200-00002105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4" name="Rectangle: Rounded Corners 1313">
                    <a:extLst>
                      <a:ext uri="{FF2B5EF4-FFF2-40B4-BE49-F238E27FC236}">
                        <a16:creationId xmlns:a16="http://schemas.microsoft.com/office/drawing/2014/main" id="{00000000-0008-0000-0200-00002205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5" name="Rectangle: Rounded Corners 1314">
                    <a:extLst>
                      <a:ext uri="{FF2B5EF4-FFF2-40B4-BE49-F238E27FC236}">
                        <a16:creationId xmlns:a16="http://schemas.microsoft.com/office/drawing/2014/main" id="{00000000-0008-0000-0200-00002305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6" name="Rectangle: Rounded Corners 1315">
                    <a:extLst>
                      <a:ext uri="{FF2B5EF4-FFF2-40B4-BE49-F238E27FC236}">
                        <a16:creationId xmlns:a16="http://schemas.microsoft.com/office/drawing/2014/main" id="{00000000-0008-0000-0200-00002405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7" name="Rectangle: Rounded Corners 1316">
                    <a:extLst>
                      <a:ext uri="{FF2B5EF4-FFF2-40B4-BE49-F238E27FC236}">
                        <a16:creationId xmlns:a16="http://schemas.microsoft.com/office/drawing/2014/main" id="{00000000-0008-0000-0200-00002505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8" name="Rectangle: Rounded Corners 1317">
                    <a:extLst>
                      <a:ext uri="{FF2B5EF4-FFF2-40B4-BE49-F238E27FC236}">
                        <a16:creationId xmlns:a16="http://schemas.microsoft.com/office/drawing/2014/main" id="{00000000-0008-0000-0200-00002605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08" name="Group 1307">
                  <a:extLst>
                    <a:ext uri="{FF2B5EF4-FFF2-40B4-BE49-F238E27FC236}">
                      <a16:creationId xmlns:a16="http://schemas.microsoft.com/office/drawing/2014/main" id="{00000000-0008-0000-0200-00001C050000}"/>
                    </a:ext>
                  </a:extLst>
                </xdr:cNvPr>
                <xdr:cNvGrpSpPr/>
              </xdr:nvGrpSpPr>
              <xdr:grpSpPr>
                <a:xfrm>
                  <a:off x="13679805" y="106093372"/>
                  <a:ext cx="953589" cy="1109382"/>
                  <a:chOff x="0" y="0"/>
                  <a:chExt cx="1112520" cy="1371600"/>
                </a:xfrm>
              </xdr:grpSpPr>
              <xdr:sp macro="" textlink="">
                <xdr:nvSpPr>
                  <xdr:cNvPr id="1309" name="Rectangle 1308">
                    <a:extLst>
                      <a:ext uri="{FF2B5EF4-FFF2-40B4-BE49-F238E27FC236}">
                        <a16:creationId xmlns:a16="http://schemas.microsoft.com/office/drawing/2014/main" id="{00000000-0008-0000-0200-00001D05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10" name="Rectangle 1309">
                    <a:extLst>
                      <a:ext uri="{FF2B5EF4-FFF2-40B4-BE49-F238E27FC236}">
                        <a16:creationId xmlns:a16="http://schemas.microsoft.com/office/drawing/2014/main" id="{00000000-0008-0000-0200-00001E05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11" name="Straight Connector 1310">
                    <a:extLst>
                      <a:ext uri="{FF2B5EF4-FFF2-40B4-BE49-F238E27FC236}">
                        <a16:creationId xmlns:a16="http://schemas.microsoft.com/office/drawing/2014/main" id="{00000000-0008-0000-0200-00001F05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06" name="Thought Bubble: Cloud 1305">
                <a:extLst>
                  <a:ext uri="{FF2B5EF4-FFF2-40B4-BE49-F238E27FC236}">
                    <a16:creationId xmlns:a16="http://schemas.microsoft.com/office/drawing/2014/main" id="{00000000-0008-0000-0200-00001A050000}"/>
                  </a:ext>
                </a:extLst>
              </xdr:cNvPr>
              <xdr:cNvSpPr/>
            </xdr:nvSpPr>
            <xdr:spPr>
              <a:xfrm flipH="1">
                <a:off x="13365162" y="104827427"/>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19" name="Group 1318">
              <a:extLst>
                <a:ext uri="{FF2B5EF4-FFF2-40B4-BE49-F238E27FC236}">
                  <a16:creationId xmlns:a16="http://schemas.microsoft.com/office/drawing/2014/main" id="{00000000-0008-0000-0200-000027050000}"/>
                </a:ext>
              </a:extLst>
            </xdr:cNvPr>
            <xdr:cNvGrpSpPr>
              <a:grpSpLocks noChangeAspect="1"/>
            </xdr:cNvGrpSpPr>
          </xdr:nvGrpSpPr>
          <xdr:grpSpPr>
            <a:xfrm>
              <a:off x="295784" y="107882306"/>
              <a:ext cx="674825" cy="1999079"/>
              <a:chOff x="13527313" y="104774987"/>
              <a:chExt cx="1171575" cy="3438535"/>
            </a:xfrm>
          </xdr:grpSpPr>
          <xdr:grpSp>
            <xdr:nvGrpSpPr>
              <xdr:cNvPr id="1320" name="Group 1319">
                <a:extLst>
                  <a:ext uri="{FF2B5EF4-FFF2-40B4-BE49-F238E27FC236}">
                    <a16:creationId xmlns:a16="http://schemas.microsoft.com/office/drawing/2014/main" id="{00000000-0008-0000-0200-000028050000}"/>
                  </a:ext>
                </a:extLst>
              </xdr:cNvPr>
              <xdr:cNvGrpSpPr/>
            </xdr:nvGrpSpPr>
            <xdr:grpSpPr>
              <a:xfrm>
                <a:off x="13620749" y="105470322"/>
                <a:ext cx="1053296" cy="2743200"/>
                <a:chOff x="13620749" y="105470322"/>
                <a:chExt cx="1053296" cy="2743200"/>
              </a:xfrm>
            </xdr:grpSpPr>
            <xdr:grpSp>
              <xdr:nvGrpSpPr>
                <xdr:cNvPr id="1322" name="Group 1321">
                  <a:extLst>
                    <a:ext uri="{FF2B5EF4-FFF2-40B4-BE49-F238E27FC236}">
                      <a16:creationId xmlns:a16="http://schemas.microsoft.com/office/drawing/2014/main" id="{00000000-0008-0000-0200-00002A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27" name="Rectangle: Rounded Corners 1326">
                    <a:extLst>
                      <a:ext uri="{FF2B5EF4-FFF2-40B4-BE49-F238E27FC236}">
                        <a16:creationId xmlns:a16="http://schemas.microsoft.com/office/drawing/2014/main" id="{00000000-0008-0000-0200-00002F05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28" name="Rectangle: Rounded Corners 1327">
                    <a:extLst>
                      <a:ext uri="{FF2B5EF4-FFF2-40B4-BE49-F238E27FC236}">
                        <a16:creationId xmlns:a16="http://schemas.microsoft.com/office/drawing/2014/main" id="{00000000-0008-0000-0200-00003005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29" name="Rectangle: Rounded Corners 1328">
                    <a:extLst>
                      <a:ext uri="{FF2B5EF4-FFF2-40B4-BE49-F238E27FC236}">
                        <a16:creationId xmlns:a16="http://schemas.microsoft.com/office/drawing/2014/main" id="{00000000-0008-0000-0200-00003105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0" name="Rectangle: Rounded Corners 1329">
                    <a:extLst>
                      <a:ext uri="{FF2B5EF4-FFF2-40B4-BE49-F238E27FC236}">
                        <a16:creationId xmlns:a16="http://schemas.microsoft.com/office/drawing/2014/main" id="{00000000-0008-0000-0200-00003205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1" name="Rectangle: Rounded Corners 1330">
                    <a:extLst>
                      <a:ext uri="{FF2B5EF4-FFF2-40B4-BE49-F238E27FC236}">
                        <a16:creationId xmlns:a16="http://schemas.microsoft.com/office/drawing/2014/main" id="{00000000-0008-0000-0200-00003305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2" name="Rectangle: Rounded Corners 1331">
                    <a:extLst>
                      <a:ext uri="{FF2B5EF4-FFF2-40B4-BE49-F238E27FC236}">
                        <a16:creationId xmlns:a16="http://schemas.microsoft.com/office/drawing/2014/main" id="{00000000-0008-0000-0200-00003405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3" name="Rectangle: Rounded Corners 1332">
                    <a:extLst>
                      <a:ext uri="{FF2B5EF4-FFF2-40B4-BE49-F238E27FC236}">
                        <a16:creationId xmlns:a16="http://schemas.microsoft.com/office/drawing/2014/main" id="{00000000-0008-0000-0200-00003505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23" name="Group 1322">
                  <a:extLst>
                    <a:ext uri="{FF2B5EF4-FFF2-40B4-BE49-F238E27FC236}">
                      <a16:creationId xmlns:a16="http://schemas.microsoft.com/office/drawing/2014/main" id="{00000000-0008-0000-0200-00002B050000}"/>
                    </a:ext>
                  </a:extLst>
                </xdr:cNvPr>
                <xdr:cNvGrpSpPr/>
              </xdr:nvGrpSpPr>
              <xdr:grpSpPr>
                <a:xfrm>
                  <a:off x="13679805" y="106093372"/>
                  <a:ext cx="953589" cy="1109382"/>
                  <a:chOff x="0" y="0"/>
                  <a:chExt cx="1112520" cy="1371600"/>
                </a:xfrm>
              </xdr:grpSpPr>
              <xdr:sp macro="" textlink="">
                <xdr:nvSpPr>
                  <xdr:cNvPr id="1324" name="Rectangle 1323">
                    <a:extLst>
                      <a:ext uri="{FF2B5EF4-FFF2-40B4-BE49-F238E27FC236}">
                        <a16:creationId xmlns:a16="http://schemas.microsoft.com/office/drawing/2014/main" id="{00000000-0008-0000-0200-00002C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25" name="Rectangle 1324">
                    <a:extLst>
                      <a:ext uri="{FF2B5EF4-FFF2-40B4-BE49-F238E27FC236}">
                        <a16:creationId xmlns:a16="http://schemas.microsoft.com/office/drawing/2014/main" id="{00000000-0008-0000-0200-00002D05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26" name="Straight Connector 1325">
                    <a:extLst>
                      <a:ext uri="{FF2B5EF4-FFF2-40B4-BE49-F238E27FC236}">
                        <a16:creationId xmlns:a16="http://schemas.microsoft.com/office/drawing/2014/main" id="{00000000-0008-0000-0200-00002E05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21" name="Thought Bubble: Cloud 1320">
                <a:extLst>
                  <a:ext uri="{FF2B5EF4-FFF2-40B4-BE49-F238E27FC236}">
                    <a16:creationId xmlns:a16="http://schemas.microsoft.com/office/drawing/2014/main" id="{00000000-0008-0000-0200-000029050000}"/>
                  </a:ext>
                </a:extLst>
              </xdr:cNvPr>
              <xdr:cNvSpPr/>
            </xdr:nvSpPr>
            <xdr:spPr>
              <a:xfrm flipH="1">
                <a:off x="13527313" y="104774987"/>
                <a:ext cx="1171575"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34" name="Group 1333">
              <a:extLst>
                <a:ext uri="{FF2B5EF4-FFF2-40B4-BE49-F238E27FC236}">
                  <a16:creationId xmlns:a16="http://schemas.microsoft.com/office/drawing/2014/main" id="{00000000-0008-0000-0200-000036050000}"/>
                </a:ext>
              </a:extLst>
            </xdr:cNvPr>
            <xdr:cNvGrpSpPr>
              <a:grpSpLocks noChangeAspect="1"/>
            </xdr:cNvGrpSpPr>
          </xdr:nvGrpSpPr>
          <xdr:grpSpPr>
            <a:xfrm>
              <a:off x="1037033" y="107867116"/>
              <a:ext cx="719366" cy="1999072"/>
              <a:chOff x="13425142" y="104774999"/>
              <a:chExt cx="1248903" cy="3438523"/>
            </a:xfrm>
          </xdr:grpSpPr>
          <xdr:grpSp>
            <xdr:nvGrpSpPr>
              <xdr:cNvPr id="1335" name="Group 1334">
                <a:extLst>
                  <a:ext uri="{FF2B5EF4-FFF2-40B4-BE49-F238E27FC236}">
                    <a16:creationId xmlns:a16="http://schemas.microsoft.com/office/drawing/2014/main" id="{00000000-0008-0000-0200-000037050000}"/>
                  </a:ext>
                </a:extLst>
              </xdr:cNvPr>
              <xdr:cNvGrpSpPr/>
            </xdr:nvGrpSpPr>
            <xdr:grpSpPr>
              <a:xfrm>
                <a:off x="13620749" y="105470322"/>
                <a:ext cx="1053296" cy="2743200"/>
                <a:chOff x="13620749" y="105470322"/>
                <a:chExt cx="1053296" cy="2743200"/>
              </a:xfrm>
            </xdr:grpSpPr>
            <xdr:grpSp>
              <xdr:nvGrpSpPr>
                <xdr:cNvPr id="1337" name="Group 1336">
                  <a:extLst>
                    <a:ext uri="{FF2B5EF4-FFF2-40B4-BE49-F238E27FC236}">
                      <a16:creationId xmlns:a16="http://schemas.microsoft.com/office/drawing/2014/main" id="{00000000-0008-0000-0200-000039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42" name="Rectangle: Rounded Corners 1341">
                    <a:extLst>
                      <a:ext uri="{FF2B5EF4-FFF2-40B4-BE49-F238E27FC236}">
                        <a16:creationId xmlns:a16="http://schemas.microsoft.com/office/drawing/2014/main" id="{00000000-0008-0000-0200-00003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3" name="Rectangle: Rounded Corners 1342">
                    <a:extLst>
                      <a:ext uri="{FF2B5EF4-FFF2-40B4-BE49-F238E27FC236}">
                        <a16:creationId xmlns:a16="http://schemas.microsoft.com/office/drawing/2014/main" id="{00000000-0008-0000-0200-00003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4" name="Rectangle: Rounded Corners 1343">
                    <a:extLst>
                      <a:ext uri="{FF2B5EF4-FFF2-40B4-BE49-F238E27FC236}">
                        <a16:creationId xmlns:a16="http://schemas.microsoft.com/office/drawing/2014/main" id="{00000000-0008-0000-0200-00004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5" name="Rectangle: Rounded Corners 1344">
                    <a:extLst>
                      <a:ext uri="{FF2B5EF4-FFF2-40B4-BE49-F238E27FC236}">
                        <a16:creationId xmlns:a16="http://schemas.microsoft.com/office/drawing/2014/main" id="{00000000-0008-0000-0200-000041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6" name="Rectangle: Rounded Corners 1345">
                    <a:extLst>
                      <a:ext uri="{FF2B5EF4-FFF2-40B4-BE49-F238E27FC236}">
                        <a16:creationId xmlns:a16="http://schemas.microsoft.com/office/drawing/2014/main" id="{00000000-0008-0000-0200-00004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7" name="Rectangle: Rounded Corners 1346">
                    <a:extLst>
                      <a:ext uri="{FF2B5EF4-FFF2-40B4-BE49-F238E27FC236}">
                        <a16:creationId xmlns:a16="http://schemas.microsoft.com/office/drawing/2014/main" id="{00000000-0008-0000-0200-000043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8" name="Rectangle: Rounded Corners 1347">
                    <a:extLst>
                      <a:ext uri="{FF2B5EF4-FFF2-40B4-BE49-F238E27FC236}">
                        <a16:creationId xmlns:a16="http://schemas.microsoft.com/office/drawing/2014/main" id="{00000000-0008-0000-0200-000044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38" name="Group 1337">
                  <a:extLst>
                    <a:ext uri="{FF2B5EF4-FFF2-40B4-BE49-F238E27FC236}">
                      <a16:creationId xmlns:a16="http://schemas.microsoft.com/office/drawing/2014/main" id="{00000000-0008-0000-0200-00003A050000}"/>
                    </a:ext>
                  </a:extLst>
                </xdr:cNvPr>
                <xdr:cNvGrpSpPr/>
              </xdr:nvGrpSpPr>
              <xdr:grpSpPr>
                <a:xfrm>
                  <a:off x="13679805" y="106093372"/>
                  <a:ext cx="953589" cy="1109382"/>
                  <a:chOff x="0" y="0"/>
                  <a:chExt cx="1112520" cy="1371600"/>
                </a:xfrm>
              </xdr:grpSpPr>
              <xdr:sp macro="" textlink="">
                <xdr:nvSpPr>
                  <xdr:cNvPr id="1339" name="Rectangle 1338">
                    <a:extLst>
                      <a:ext uri="{FF2B5EF4-FFF2-40B4-BE49-F238E27FC236}">
                        <a16:creationId xmlns:a16="http://schemas.microsoft.com/office/drawing/2014/main" id="{00000000-0008-0000-0200-00003B05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40" name="Rectangle 1339">
                    <a:extLst>
                      <a:ext uri="{FF2B5EF4-FFF2-40B4-BE49-F238E27FC236}">
                        <a16:creationId xmlns:a16="http://schemas.microsoft.com/office/drawing/2014/main" id="{00000000-0008-0000-0200-00003C05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41" name="Straight Connector 1340">
                    <a:extLst>
                      <a:ext uri="{FF2B5EF4-FFF2-40B4-BE49-F238E27FC236}">
                        <a16:creationId xmlns:a16="http://schemas.microsoft.com/office/drawing/2014/main" id="{00000000-0008-0000-0200-00003D05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36" name="Thought Bubble: Cloud 1335">
                <a:extLst>
                  <a:ext uri="{FF2B5EF4-FFF2-40B4-BE49-F238E27FC236}">
                    <a16:creationId xmlns:a16="http://schemas.microsoft.com/office/drawing/2014/main" id="{00000000-0008-0000-0200-000038050000}"/>
                  </a:ext>
                </a:extLst>
              </xdr:cNvPr>
              <xdr:cNvSpPr/>
            </xdr:nvSpPr>
            <xdr:spPr>
              <a:xfrm flipH="1">
                <a:off x="13425142" y="104774999"/>
                <a:ext cx="1171577"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49" name="Group 1348">
              <a:extLst>
                <a:ext uri="{FF2B5EF4-FFF2-40B4-BE49-F238E27FC236}">
                  <a16:creationId xmlns:a16="http://schemas.microsoft.com/office/drawing/2014/main" id="{00000000-0008-0000-0200-000045050000}"/>
                </a:ext>
              </a:extLst>
            </xdr:cNvPr>
            <xdr:cNvGrpSpPr>
              <a:grpSpLocks noChangeAspect="1"/>
            </xdr:cNvGrpSpPr>
          </xdr:nvGrpSpPr>
          <xdr:grpSpPr>
            <a:xfrm>
              <a:off x="4449782" y="107882313"/>
              <a:ext cx="733342" cy="1982459"/>
              <a:chOff x="14944724" y="104774999"/>
              <a:chExt cx="1273165" cy="3409948"/>
            </a:xfrm>
          </xdr:grpSpPr>
          <xdr:grpSp>
            <xdr:nvGrpSpPr>
              <xdr:cNvPr id="1350" name="Group 1349">
                <a:extLst>
                  <a:ext uri="{FF2B5EF4-FFF2-40B4-BE49-F238E27FC236}">
                    <a16:creationId xmlns:a16="http://schemas.microsoft.com/office/drawing/2014/main" id="{00000000-0008-0000-0200-000046050000}"/>
                  </a:ext>
                </a:extLst>
              </xdr:cNvPr>
              <xdr:cNvGrpSpPr/>
            </xdr:nvGrpSpPr>
            <xdr:grpSpPr>
              <a:xfrm>
                <a:off x="14944724" y="105441747"/>
                <a:ext cx="1053296" cy="2743200"/>
                <a:chOff x="14944724" y="105441747"/>
                <a:chExt cx="1053296" cy="2743200"/>
              </a:xfrm>
            </xdr:grpSpPr>
            <xdr:grpSp>
              <xdr:nvGrpSpPr>
                <xdr:cNvPr id="1352" name="Group 1351">
                  <a:extLst>
                    <a:ext uri="{FF2B5EF4-FFF2-40B4-BE49-F238E27FC236}">
                      <a16:creationId xmlns:a16="http://schemas.microsoft.com/office/drawing/2014/main" id="{00000000-0008-0000-0200-000048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357" name="Rectangle: Rounded Corners 1356">
                    <a:extLst>
                      <a:ext uri="{FF2B5EF4-FFF2-40B4-BE49-F238E27FC236}">
                        <a16:creationId xmlns:a16="http://schemas.microsoft.com/office/drawing/2014/main" id="{00000000-0008-0000-0200-00004D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58" name="Rectangle: Rounded Corners 1357">
                    <a:extLst>
                      <a:ext uri="{FF2B5EF4-FFF2-40B4-BE49-F238E27FC236}">
                        <a16:creationId xmlns:a16="http://schemas.microsoft.com/office/drawing/2014/main" id="{00000000-0008-0000-0200-00004E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59" name="Rectangle: Rounded Corners 1358">
                    <a:extLst>
                      <a:ext uri="{FF2B5EF4-FFF2-40B4-BE49-F238E27FC236}">
                        <a16:creationId xmlns:a16="http://schemas.microsoft.com/office/drawing/2014/main" id="{00000000-0008-0000-0200-00004F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0" name="Rectangle: Rounded Corners 1359">
                    <a:extLst>
                      <a:ext uri="{FF2B5EF4-FFF2-40B4-BE49-F238E27FC236}">
                        <a16:creationId xmlns:a16="http://schemas.microsoft.com/office/drawing/2014/main" id="{00000000-0008-0000-0200-000050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1" name="Rectangle: Rounded Corners 1360">
                    <a:extLst>
                      <a:ext uri="{FF2B5EF4-FFF2-40B4-BE49-F238E27FC236}">
                        <a16:creationId xmlns:a16="http://schemas.microsoft.com/office/drawing/2014/main" id="{00000000-0008-0000-0200-000051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2" name="Rectangle: Rounded Corners 1361">
                    <a:extLst>
                      <a:ext uri="{FF2B5EF4-FFF2-40B4-BE49-F238E27FC236}">
                        <a16:creationId xmlns:a16="http://schemas.microsoft.com/office/drawing/2014/main" id="{00000000-0008-0000-0200-000052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3" name="Rectangle: Rounded Corners 1362">
                    <a:extLst>
                      <a:ext uri="{FF2B5EF4-FFF2-40B4-BE49-F238E27FC236}">
                        <a16:creationId xmlns:a16="http://schemas.microsoft.com/office/drawing/2014/main" id="{00000000-0008-0000-0200-000053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53" name="Group 1352">
                  <a:extLst>
                    <a:ext uri="{FF2B5EF4-FFF2-40B4-BE49-F238E27FC236}">
                      <a16:creationId xmlns:a16="http://schemas.microsoft.com/office/drawing/2014/main" id="{00000000-0008-0000-0200-000049050000}"/>
                    </a:ext>
                  </a:extLst>
                </xdr:cNvPr>
                <xdr:cNvGrpSpPr/>
              </xdr:nvGrpSpPr>
              <xdr:grpSpPr>
                <a:xfrm>
                  <a:off x="15001875" y="106064797"/>
                  <a:ext cx="953589" cy="1109382"/>
                  <a:chOff x="-11112" y="0"/>
                  <a:chExt cx="1112519" cy="1371600"/>
                </a:xfrm>
              </xdr:grpSpPr>
              <xdr:sp macro="" textlink="">
                <xdr:nvSpPr>
                  <xdr:cNvPr id="1354" name="Rectangle 1353">
                    <a:extLst>
                      <a:ext uri="{FF2B5EF4-FFF2-40B4-BE49-F238E27FC236}">
                        <a16:creationId xmlns:a16="http://schemas.microsoft.com/office/drawing/2014/main" id="{00000000-0008-0000-0200-00004A05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55" name="Rectangle 1354">
                    <a:extLst>
                      <a:ext uri="{FF2B5EF4-FFF2-40B4-BE49-F238E27FC236}">
                        <a16:creationId xmlns:a16="http://schemas.microsoft.com/office/drawing/2014/main" id="{00000000-0008-0000-0200-00004B05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56" name="Straight Connector 1355">
                    <a:extLst>
                      <a:ext uri="{FF2B5EF4-FFF2-40B4-BE49-F238E27FC236}">
                        <a16:creationId xmlns:a16="http://schemas.microsoft.com/office/drawing/2014/main" id="{00000000-0008-0000-0200-00004C05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51" name="Thought Bubble: Cloud 1350">
                <a:extLst>
                  <a:ext uri="{FF2B5EF4-FFF2-40B4-BE49-F238E27FC236}">
                    <a16:creationId xmlns:a16="http://schemas.microsoft.com/office/drawing/2014/main" id="{00000000-0008-0000-0200-00004705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sp macro="" textlink="">
        <xdr:nvSpPr>
          <xdr:cNvPr id="2424" name="Block Arc 2423">
            <a:extLst>
              <a:ext uri="{FF2B5EF4-FFF2-40B4-BE49-F238E27FC236}">
                <a16:creationId xmlns:a16="http://schemas.microsoft.com/office/drawing/2014/main" id="{00000000-0008-0000-0200-000078090000}"/>
              </a:ext>
            </a:extLst>
          </xdr:cNvPr>
          <xdr:cNvSpPr/>
        </xdr:nvSpPr>
        <xdr:spPr>
          <a:xfrm flipV="1">
            <a:off x="22860" y="116799360"/>
            <a:ext cx="2575560" cy="350520"/>
          </a:xfrm>
          <a:prstGeom prst="blockArc">
            <a:avLst/>
          </a:prstGeom>
          <a:pattFill prst="shingle">
            <a:fgClr>
              <a:srgbClr val="00B0F0"/>
            </a:fgClr>
            <a:bgClr>
              <a:schemeClr val="bg1"/>
            </a:bgClr>
          </a:pattFill>
          <a:ln w="3175">
            <a:solidFill>
              <a:srgbClr val="00B0F0"/>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426" name="Block Arc 2425">
            <a:extLst>
              <a:ext uri="{FF2B5EF4-FFF2-40B4-BE49-F238E27FC236}">
                <a16:creationId xmlns:a16="http://schemas.microsoft.com/office/drawing/2014/main" id="{00000000-0008-0000-0200-00007A090000}"/>
              </a:ext>
            </a:extLst>
          </xdr:cNvPr>
          <xdr:cNvSpPr/>
        </xdr:nvSpPr>
        <xdr:spPr>
          <a:xfrm flipV="1">
            <a:off x="3581400" y="116791740"/>
            <a:ext cx="2575560" cy="350520"/>
          </a:xfrm>
          <a:prstGeom prst="blockArc">
            <a:avLst/>
          </a:prstGeom>
          <a:pattFill prst="shingle">
            <a:fgClr>
              <a:srgbClr val="FF7171"/>
            </a:fgClr>
            <a:bgClr>
              <a:schemeClr val="bg1"/>
            </a:bgClr>
          </a:pattFill>
          <a:ln w="3175">
            <a:solidFill>
              <a:srgbClr val="FF717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clientData/>
  </xdr:twoCellAnchor>
  <xdr:twoCellAnchor>
    <xdr:from>
      <xdr:col>1</xdr:col>
      <xdr:colOff>30480</xdr:colOff>
      <xdr:row>594</xdr:row>
      <xdr:rowOff>106680</xdr:rowOff>
    </xdr:from>
    <xdr:to>
      <xdr:col>12</xdr:col>
      <xdr:colOff>434340</xdr:colOff>
      <xdr:row>599</xdr:row>
      <xdr:rowOff>121920</xdr:rowOff>
    </xdr:to>
    <xdr:sp macro="" textlink="">
      <xdr:nvSpPr>
        <xdr:cNvPr id="2795" name="You believe whatever serves your needs.">
          <a:extLst>
            <a:ext uri="{FF2B5EF4-FFF2-40B4-BE49-F238E27FC236}">
              <a16:creationId xmlns:a16="http://schemas.microsoft.com/office/drawing/2014/main" id="{00000000-0008-0000-0200-0000EB0A0000}"/>
            </a:ext>
          </a:extLst>
        </xdr:cNvPr>
        <xdr:cNvSpPr txBox="1">
          <a:spLocks/>
        </xdr:cNvSpPr>
      </xdr:nvSpPr>
      <xdr:spPr>
        <a:xfrm>
          <a:off x="152400" y="109080300"/>
          <a:ext cx="5852160" cy="891540"/>
        </a:xfrm>
        <a:prstGeom prst="rect">
          <a:avLst/>
        </a:prstGeom>
        <a:solidFill>
          <a:srgbClr val="660066">
            <a:alpha val="69804"/>
          </a:srgbClr>
        </a:solidFill>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600"/>
            </a:lnSpc>
            <a:buNone/>
          </a:pPr>
          <a:r>
            <a:rPr lang="en-US" sz="1400" b="0"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Political leaders on both sides sidestep</a:t>
          </a:r>
          <a:r>
            <a:rPr lang="en-US" sz="1400" b="0"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kern="1200" spc="20" baseline="0">
              <a:ln w="9525">
                <a:solidFill>
                  <a:srgbClr val="00FA6E"/>
                </a:solidFill>
              </a:ln>
              <a:solidFill>
                <a:srgbClr val="00FA6E"/>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specific differences </a:t>
          </a:r>
          <a:r>
            <a:rPr lang="en-US" sz="1400" b="0" spc="4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with </a:t>
          </a:r>
          <a:r>
            <a:rPr lang="en-US" sz="1400" b="0" i="1" spc="40" baseline="0">
              <a:ln w="9525">
                <a:solidFill>
                  <a:srgbClr val="FFC3F5"/>
                </a:solidFill>
              </a:ln>
              <a:solidFill>
                <a:srgbClr val="FFC3F5"/>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similar others</a:t>
          </a:r>
          <a:r>
            <a:rPr lang="en-US" sz="1400" b="0" i="1" spc="40" baseline="0">
              <a:ln w="9525">
                <a:solidFill>
                  <a:srgbClr val="FF99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spc="4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to build political power. This may cost you </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vital attention to resolve </a:t>
          </a:r>
          <a:r>
            <a:rPr lang="en-US" sz="1400" b="0" spc="0" baseline="0">
              <a:ln w="9525">
                <a:solidFill>
                  <a:srgbClr val="00FA6E"/>
                </a:solidFill>
              </a:ln>
              <a:solidFill>
                <a:srgbClr val="00FA6E"/>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specific needs</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If kept unresolved, </a:t>
          </a:r>
          <a:r>
            <a:rPr lang="en-US" sz="1400" b="0" i="1" spc="-30" baseline="0">
              <a:ln w="9525">
                <a:solidFill>
                  <a:srgbClr val="F0CDFF"/>
                </a:solidFill>
              </a:ln>
              <a:solidFill>
                <a:srgbClr val="FF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such politics keeps you in </a:t>
          </a:r>
          <a:r>
            <a:rPr lang="en-US" sz="1400" b="0" i="1" spc="-30" baseline="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400" b="0" i="1" spc="-30" baseline="0">
              <a:ln w="9525">
                <a:solidFill>
                  <a:srgbClr val="F0CDFF"/>
                </a:solidFill>
              </a:ln>
              <a:solidFill>
                <a:srgbClr val="FF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and dependent on their leadership. </a:t>
          </a:r>
          <a:endParaRPr lang="en-US" sz="1400" b="0" kern="1200" spc="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99060</xdr:colOff>
      <xdr:row>95</xdr:row>
      <xdr:rowOff>314959</xdr:rowOff>
    </xdr:from>
    <xdr:to>
      <xdr:col>12</xdr:col>
      <xdr:colOff>472440</xdr:colOff>
      <xdr:row>99</xdr:row>
      <xdr:rowOff>45720</xdr:rowOff>
    </xdr:to>
    <xdr:grpSp>
      <xdr:nvGrpSpPr>
        <xdr:cNvPr id="2299" name="Group 2298">
          <a:extLst>
            <a:ext uri="{FF2B5EF4-FFF2-40B4-BE49-F238E27FC236}">
              <a16:creationId xmlns:a16="http://schemas.microsoft.com/office/drawing/2014/main" id="{00000000-0008-0000-0200-0000FB080000}"/>
            </a:ext>
          </a:extLst>
        </xdr:cNvPr>
        <xdr:cNvGrpSpPr/>
      </xdr:nvGrpSpPr>
      <xdr:grpSpPr>
        <a:xfrm>
          <a:off x="213360" y="19646899"/>
          <a:ext cx="5905500" cy="843281"/>
          <a:chOff x="220980" y="11051539"/>
          <a:chExt cx="5821680" cy="843281"/>
        </a:xfrm>
      </xdr:grpSpPr>
      <xdr:sp macro="" textlink="">
        <xdr:nvSpPr>
          <xdr:cNvPr id="532" name="TextBox: Politics defined">
            <a:extLst>
              <a:ext uri="{FF2B5EF4-FFF2-40B4-BE49-F238E27FC236}">
                <a16:creationId xmlns:a16="http://schemas.microsoft.com/office/drawing/2014/main" id="{00000000-0008-0000-0200-000014020000}"/>
              </a:ext>
            </a:extLst>
          </xdr:cNvPr>
          <xdr:cNvSpPr txBox="1"/>
        </xdr:nvSpPr>
        <xdr:spPr>
          <a:xfrm>
            <a:off x="274320" y="11188699"/>
            <a:ext cx="5768340" cy="7061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the art of generalizing how to agreeably address needs in different social situations. </a:t>
            </a:r>
          </a:p>
        </xdr:txBody>
      </xdr:sp>
      <xdr:sp macro="" textlink="">
        <xdr:nvSpPr>
          <xdr:cNvPr id="1918" name="TextBox: Politics defined">
            <a:extLst>
              <a:ext uri="{FF2B5EF4-FFF2-40B4-BE49-F238E27FC236}">
                <a16:creationId xmlns:a16="http://schemas.microsoft.com/office/drawing/2014/main" id="{00000000-0008-0000-0200-00007E070000}"/>
              </a:ext>
            </a:extLst>
          </xdr:cNvPr>
          <xdr:cNvSpPr txBox="1"/>
        </xdr:nvSpPr>
        <xdr:spPr>
          <a:xfrm>
            <a:off x="220980" y="1108201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1</a:t>
            </a:r>
          </a:p>
        </xdr:txBody>
      </xdr:sp>
      <xdr:sp macro="" textlink="">
        <xdr:nvSpPr>
          <xdr:cNvPr id="1944" name="TextBox: Politics defined">
            <a:extLst>
              <a:ext uri="{FF2B5EF4-FFF2-40B4-BE49-F238E27FC236}">
                <a16:creationId xmlns:a16="http://schemas.microsoft.com/office/drawing/2014/main" id="{00000000-0008-0000-0200-000098070000}"/>
              </a:ext>
            </a:extLst>
          </xdr:cNvPr>
          <xdr:cNvSpPr txBox="1"/>
        </xdr:nvSpPr>
        <xdr:spPr>
          <a:xfrm>
            <a:off x="3116580" y="1105153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2</a:t>
            </a:r>
          </a:p>
        </xdr:txBody>
      </xdr:sp>
      <xdr:sp macro="" textlink="">
        <xdr:nvSpPr>
          <xdr:cNvPr id="2104" name="TextBox: Politics defined">
            <a:extLst>
              <a:ext uri="{FF2B5EF4-FFF2-40B4-BE49-F238E27FC236}">
                <a16:creationId xmlns:a16="http://schemas.microsoft.com/office/drawing/2014/main" id="{00000000-0008-0000-0200-000038080000}"/>
              </a:ext>
            </a:extLst>
          </xdr:cNvPr>
          <xdr:cNvSpPr txBox="1"/>
        </xdr:nvSpPr>
        <xdr:spPr>
          <a:xfrm>
            <a:off x="2118360" y="1135633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3</a:t>
            </a:r>
          </a:p>
        </xdr:txBody>
      </xdr:sp>
    </xdr:grpSp>
    <xdr:clientData/>
  </xdr:twoCellAnchor>
  <xdr:twoCellAnchor>
    <xdr:from>
      <xdr:col>1</xdr:col>
      <xdr:colOff>70505</xdr:colOff>
      <xdr:row>1485</xdr:row>
      <xdr:rowOff>91999</xdr:rowOff>
    </xdr:from>
    <xdr:to>
      <xdr:col>2</xdr:col>
      <xdr:colOff>218708</xdr:colOff>
      <xdr:row>1488</xdr:row>
      <xdr:rowOff>142137</xdr:rowOff>
    </xdr:to>
    <xdr:grpSp>
      <xdr:nvGrpSpPr>
        <xdr:cNvPr id="2448" name="Group 2447">
          <a:extLst>
            <a:ext uri="{FF2B5EF4-FFF2-40B4-BE49-F238E27FC236}">
              <a16:creationId xmlns:a16="http://schemas.microsoft.com/office/drawing/2014/main" id="{00000000-0008-0000-0200-000090090000}"/>
            </a:ext>
          </a:extLst>
        </xdr:cNvPr>
        <xdr:cNvGrpSpPr/>
      </xdr:nvGrpSpPr>
      <xdr:grpSpPr>
        <a:xfrm>
          <a:off x="184805" y="291686539"/>
          <a:ext cx="651123" cy="621638"/>
          <a:chOff x="6438900" y="87877029"/>
          <a:chExt cx="645689" cy="621682"/>
        </a:xfrm>
      </xdr:grpSpPr>
      <xdr:sp macro="" textlink="">
        <xdr:nvSpPr>
          <xdr:cNvPr id="2449" name="Oval 2448">
            <a:extLst>
              <a:ext uri="{FF2B5EF4-FFF2-40B4-BE49-F238E27FC236}">
                <a16:creationId xmlns:a16="http://schemas.microsoft.com/office/drawing/2014/main" id="{00000000-0008-0000-0200-000091090000}"/>
              </a:ext>
            </a:extLst>
          </xdr:cNvPr>
          <xdr:cNvSpPr>
            <a:spLocks noChangeAspect="1"/>
          </xdr:cNvSpPr>
        </xdr:nvSpPr>
        <xdr:spPr>
          <a:xfrm>
            <a:off x="6438900" y="88041480"/>
            <a:ext cx="471867" cy="457231"/>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0795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450" name="Rectangle 2449">
            <a:extLst>
              <a:ext uri="{FF2B5EF4-FFF2-40B4-BE49-F238E27FC236}">
                <a16:creationId xmlns:a16="http://schemas.microsoft.com/office/drawing/2014/main" id="{00000000-0008-0000-0200-000092090000}"/>
              </a:ext>
            </a:extLst>
          </xdr:cNvPr>
          <xdr:cNvSpPr/>
        </xdr:nvSpPr>
        <xdr:spPr>
          <a:xfrm>
            <a:off x="6442334" y="87877029"/>
            <a:ext cx="642255" cy="548677"/>
          </a:xfrm>
          <a:prstGeom prst="rect">
            <a:avLst/>
          </a:prstGeom>
          <a:noFill/>
        </xdr:spPr>
        <xdr:txBody>
          <a:bodyPr wrap="none" lIns="91440" tIns="45720" rIns="91440" bIns="45720">
            <a:no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107399</xdr:colOff>
      <xdr:row>1495</xdr:row>
      <xdr:rowOff>123702</xdr:rowOff>
    </xdr:from>
    <xdr:to>
      <xdr:col>2</xdr:col>
      <xdr:colOff>338680</xdr:colOff>
      <xdr:row>1499</xdr:row>
      <xdr:rowOff>105047</xdr:rowOff>
    </xdr:to>
    <xdr:grpSp>
      <xdr:nvGrpSpPr>
        <xdr:cNvPr id="2451" name="Group 2450">
          <a:extLst>
            <a:ext uri="{FF2B5EF4-FFF2-40B4-BE49-F238E27FC236}">
              <a16:creationId xmlns:a16="http://schemas.microsoft.com/office/drawing/2014/main" id="{00000000-0008-0000-0200-000093090000}"/>
            </a:ext>
          </a:extLst>
        </xdr:cNvPr>
        <xdr:cNvGrpSpPr/>
      </xdr:nvGrpSpPr>
      <xdr:grpSpPr>
        <a:xfrm>
          <a:off x="107399" y="293562282"/>
          <a:ext cx="848501" cy="743345"/>
          <a:chOff x="6361572" y="87885629"/>
          <a:chExt cx="851384" cy="836087"/>
        </a:xfrm>
        <a:gradFill>
          <a:gsLst>
            <a:gs pos="0">
              <a:srgbClr val="FF0000"/>
            </a:gs>
            <a:gs pos="50000">
              <a:srgbClr val="FF9999"/>
            </a:gs>
            <a:gs pos="100000">
              <a:srgbClr val="FFCCCC"/>
            </a:gs>
          </a:gsLst>
          <a:path path="circle">
            <a:fillToRect l="50000" t="50000" r="50000" b="50000"/>
          </a:path>
        </a:gradFill>
      </xdr:grpSpPr>
      <xdr:sp macro="" textlink="">
        <xdr:nvSpPr>
          <xdr:cNvPr id="2452" name="Oval 2451">
            <a:extLst>
              <a:ext uri="{FF2B5EF4-FFF2-40B4-BE49-F238E27FC236}">
                <a16:creationId xmlns:a16="http://schemas.microsoft.com/office/drawing/2014/main" id="{00000000-0008-0000-0200-000094090000}"/>
              </a:ext>
            </a:extLst>
          </xdr:cNvPr>
          <xdr:cNvSpPr>
            <a:spLocks noChangeAspect="1"/>
          </xdr:cNvSpPr>
        </xdr:nvSpPr>
        <xdr:spPr>
          <a:xfrm>
            <a:off x="6438900" y="88041480"/>
            <a:ext cx="458753" cy="514242"/>
          </a:xfrm>
          <a:prstGeom prst="ellipse">
            <a:avLst/>
          </a:prstGeom>
          <a:grp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453" name="Rectangle 2452">
            <a:extLst>
              <a:ext uri="{FF2B5EF4-FFF2-40B4-BE49-F238E27FC236}">
                <a16:creationId xmlns:a16="http://schemas.microsoft.com/office/drawing/2014/main" id="{00000000-0008-0000-0200-000095090000}"/>
              </a:ext>
            </a:extLst>
          </xdr:cNvPr>
          <xdr:cNvSpPr/>
        </xdr:nvSpPr>
        <xdr:spPr>
          <a:xfrm>
            <a:off x="6361572" y="87885629"/>
            <a:ext cx="851384" cy="836087"/>
          </a:xfrm>
          <a:prstGeom prst="rect">
            <a:avLst/>
          </a:prstGeom>
          <a:noFill/>
        </xdr:spPr>
        <xdr:txBody>
          <a:bodyPr wrap="none" lIns="91440" tIns="45720" rIns="91440" bIns="45720">
            <a:sp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2538</xdr:colOff>
      <xdr:row>1101</xdr:row>
      <xdr:rowOff>17779</xdr:rowOff>
    </xdr:from>
    <xdr:to>
      <xdr:col>6</xdr:col>
      <xdr:colOff>15240</xdr:colOff>
      <xdr:row>1104</xdr:row>
      <xdr:rowOff>7620</xdr:rowOff>
    </xdr:to>
    <xdr:sp macro="" textlink="">
      <xdr:nvSpPr>
        <xdr:cNvPr id="2461" name="TextBox 2460">
          <a:extLst>
            <a:ext uri="{FF2B5EF4-FFF2-40B4-BE49-F238E27FC236}">
              <a16:creationId xmlns:a16="http://schemas.microsoft.com/office/drawing/2014/main" id="{00000000-0008-0000-0200-00009D090000}"/>
            </a:ext>
          </a:extLst>
        </xdr:cNvPr>
        <xdr:cNvSpPr txBox="1"/>
      </xdr:nvSpPr>
      <xdr:spPr>
        <a:xfrm>
          <a:off x="124458" y="209773519"/>
          <a:ext cx="2489202" cy="52324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100" b="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rPr>
            <a:t>Up until</a:t>
          </a:r>
          <a:r>
            <a:rPr lang="en-US" sz="1100" b="0" baseline="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rPr>
            <a:t> now, what did you think about the available political sides? Select at right which has best fit your view.</a:t>
          </a:r>
          <a:endParaRPr lang="en-US" sz="1100" b="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endParaRPr>
        </a:p>
        <a:p>
          <a:pPr algn="l"/>
          <a:endParaRPr lang="en-US" sz="105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68580</xdr:colOff>
      <xdr:row>1113</xdr:row>
      <xdr:rowOff>45721</xdr:rowOff>
    </xdr:from>
    <xdr:to>
      <xdr:col>13</xdr:col>
      <xdr:colOff>81282</xdr:colOff>
      <xdr:row>1121</xdr:row>
      <xdr:rowOff>91440</xdr:rowOff>
    </xdr:to>
    <xdr:sp macro="" textlink="">
      <xdr:nvSpPr>
        <xdr:cNvPr id="2464" name="TextBox 2463">
          <a:extLst>
            <a:ext uri="{FF2B5EF4-FFF2-40B4-BE49-F238E27FC236}">
              <a16:creationId xmlns:a16="http://schemas.microsoft.com/office/drawing/2014/main" id="{00000000-0008-0000-0200-0000A0090000}"/>
            </a:ext>
          </a:extLst>
        </xdr:cNvPr>
        <xdr:cNvSpPr txBox="1"/>
      </xdr:nvSpPr>
      <xdr:spPr>
        <a:xfrm>
          <a:off x="68580" y="212003641"/>
          <a:ext cx="6078222" cy="1874519"/>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spcAft>
              <a:spcPts val="600"/>
            </a:spcAft>
          </a:pP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Sometimes the greatest hostilities erupt between members of the same political side. They defy expectation to hold the liberal or conservative consensus together. But if anchored in a particular psychosocial orientation, one that prioritizes their inflexible needs, these hostilities are in vain. </a:t>
          </a:r>
        </a:p>
        <a:p>
          <a:pPr algn="l">
            <a:spcAft>
              <a:spcPts val="600"/>
            </a:spcAft>
          </a:pP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Arguments cannot sway the far left, or the far right, from experiencing their priority of needs. Any more than arguments can persuade a centrist to try an extreme. </a:t>
          </a:r>
          <a:r>
            <a:rPr lang="en-US" sz="1050" b="0" i="1" baseline="0">
              <a:solidFill>
                <a:schemeClr val="dk1"/>
              </a:solidFill>
              <a:effectLst>
                <a:glow rad="25400">
                  <a:srgbClr val="2D143C">
                    <a:alpha val="20000"/>
                  </a:srgbClr>
                </a:glow>
              </a:effectLst>
              <a:latin typeface="Tahoma" panose="020B0604030504040204" pitchFamily="34" charset="0"/>
              <a:ea typeface="Tahoma" panose="020B0604030504040204" pitchFamily="34" charset="0"/>
              <a:cs typeface="Tahoma" panose="020B0604030504040204" pitchFamily="34" charset="0"/>
            </a:rPr>
            <a:t>Social conditions more than personal choices prioritize psychosocial needs</a:t>
          </a: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 which then shapes their orientation. Not debates.</a:t>
          </a:r>
          <a:endParaRPr lang="en-US" sz="1050" b="0">
            <a:latin typeface="Tahoma" panose="020B0604030504040204" pitchFamily="34" charset="0"/>
            <a:ea typeface="Tahoma" panose="020B0604030504040204" pitchFamily="34" charset="0"/>
            <a:cs typeface="Tahoma" panose="020B0604030504040204" pitchFamily="34" charset="0"/>
          </a:endParaRPr>
        </a:p>
        <a:p>
          <a:pPr algn="l">
            <a:spcAft>
              <a:spcPts val="600"/>
            </a:spcAft>
          </a:pPr>
          <a:r>
            <a:rPr lang="en-US" sz="1050" b="0">
              <a:latin typeface="Tahoma" panose="020B0604030504040204" pitchFamily="34" charset="0"/>
              <a:ea typeface="Tahoma" panose="020B0604030504040204" pitchFamily="34" charset="0"/>
              <a:cs typeface="Tahoma" panose="020B0604030504040204" pitchFamily="34" charset="0"/>
            </a:rPr>
            <a:t>The</a:t>
          </a:r>
          <a:r>
            <a:rPr lang="en-US" sz="1050" b="0" baseline="0">
              <a:latin typeface="Tahoma" panose="020B0604030504040204" pitchFamily="34" charset="0"/>
              <a:ea typeface="Tahoma" panose="020B0604030504040204" pitchFamily="34" charset="0"/>
              <a:cs typeface="Tahoma" panose="020B0604030504040204" pitchFamily="34" charset="0"/>
            </a:rPr>
            <a:t> more your social conditions painfully undermine your </a:t>
          </a:r>
          <a:r>
            <a:rPr lang="en-US" sz="1050" b="0" i="1" baseline="0">
              <a:latin typeface="Tahoma" panose="020B0604030504040204" pitchFamily="34" charset="0"/>
              <a:ea typeface="Tahoma" panose="020B0604030504040204" pitchFamily="34" charset="0"/>
              <a:cs typeface="Tahoma" panose="020B0604030504040204" pitchFamily="34" charset="0"/>
            </a:rPr>
            <a:t>less resolved social-needs</a:t>
          </a:r>
          <a:r>
            <a:rPr lang="en-US" sz="1050" b="0" baseline="0">
              <a:latin typeface="Tahoma" panose="020B0604030504040204" pitchFamily="34" charset="0"/>
              <a:ea typeface="Tahoma" panose="020B0604030504040204" pitchFamily="34" charset="0"/>
              <a:cs typeface="Tahoma" panose="020B0604030504040204" pitchFamily="34" charset="0"/>
            </a:rPr>
            <a:t>, the </a:t>
          </a:r>
          <a:r>
            <a:rPr lang="en-US" sz="1050" b="1" i="0" baseline="0">
              <a:latin typeface="Tahoma" panose="020B0604030504040204" pitchFamily="34" charset="0"/>
              <a:ea typeface="Tahoma" panose="020B0604030504040204" pitchFamily="34" charset="0"/>
              <a:cs typeface="Tahoma" panose="020B0604030504040204" pitchFamily="34" charset="0"/>
            </a:rPr>
            <a:t>wider</a:t>
          </a:r>
          <a:r>
            <a:rPr lang="en-US" sz="1050" b="0" baseline="0">
              <a:latin typeface="Tahoma" panose="020B0604030504040204" pitchFamily="34" charset="0"/>
              <a:ea typeface="Tahoma" panose="020B0604030504040204" pitchFamily="34" charset="0"/>
              <a:cs typeface="Tahoma" panose="020B0604030504040204" pitchFamily="34" charset="0"/>
            </a:rPr>
            <a:t> your focus for their </a:t>
          </a:r>
          <a:r>
            <a:rPr lang="en-US" sz="1050" b="1" i="1" baseline="0">
              <a:latin typeface="Tahoma" panose="020B0604030504040204" pitchFamily="34" charset="0"/>
              <a:ea typeface="Tahoma" panose="020B0604030504040204" pitchFamily="34" charset="0"/>
              <a:cs typeface="Tahoma" panose="020B0604030504040204" pitchFamily="34" charset="0"/>
            </a:rPr>
            <a:t>relief</a:t>
          </a:r>
          <a:r>
            <a:rPr lang="en-US" sz="1050" b="0" baseline="0">
              <a:latin typeface="Tahoma" panose="020B0604030504040204" pitchFamily="34" charset="0"/>
              <a:ea typeface="Tahoma" panose="020B0604030504040204" pitchFamily="34" charset="0"/>
              <a:cs typeface="Tahoma" panose="020B0604030504040204" pitchFamily="34" charset="0"/>
            </a:rPr>
            <a:t>. The more your social conditions painfully encroach on your </a:t>
          </a:r>
          <a:r>
            <a:rPr lang="en-US" sz="1050" b="0" i="1" baseline="0">
              <a:latin typeface="Tahoma" panose="020B0604030504040204" pitchFamily="34" charset="0"/>
              <a:ea typeface="Tahoma" panose="020B0604030504040204" pitchFamily="34" charset="0"/>
              <a:cs typeface="Tahoma" panose="020B0604030504040204" pitchFamily="34" charset="0"/>
            </a:rPr>
            <a:t>more resolved social-needs</a:t>
          </a:r>
          <a:r>
            <a:rPr lang="en-US" sz="1050" b="0" baseline="0">
              <a:latin typeface="Tahoma" panose="020B0604030504040204" pitchFamily="34" charset="0"/>
              <a:ea typeface="Tahoma" panose="020B0604030504040204" pitchFamily="34" charset="0"/>
              <a:cs typeface="Tahoma" panose="020B0604030504040204" pitchFamily="34" charset="0"/>
            </a:rPr>
            <a:t>, the </a:t>
          </a:r>
          <a:r>
            <a:rPr lang="en-US" sz="1050" b="1" i="0" baseline="0">
              <a:latin typeface="Tahoma" panose="020B0604030504040204" pitchFamily="34" charset="0"/>
              <a:ea typeface="Tahoma" panose="020B0604030504040204" pitchFamily="34" charset="0"/>
              <a:cs typeface="Tahoma" panose="020B0604030504040204" pitchFamily="34" charset="0"/>
            </a:rPr>
            <a:t>deeper</a:t>
          </a:r>
          <a:r>
            <a:rPr lang="en-US" sz="1050" b="0" baseline="0">
              <a:latin typeface="Tahoma" panose="020B0604030504040204" pitchFamily="34" charset="0"/>
              <a:ea typeface="Tahoma" panose="020B0604030504040204" pitchFamily="34" charset="0"/>
              <a:cs typeface="Tahoma" panose="020B0604030504040204" pitchFamily="34" charset="0"/>
            </a:rPr>
            <a:t> your focus to </a:t>
          </a:r>
          <a:r>
            <a:rPr lang="en-US" sz="1050" b="1" i="1" baseline="0">
              <a:latin typeface="Tahoma" panose="020B0604030504040204" pitchFamily="34" charset="0"/>
              <a:ea typeface="Tahoma" panose="020B0604030504040204" pitchFamily="34" charset="0"/>
              <a:cs typeface="Tahoma" panose="020B0604030504040204" pitchFamily="34" charset="0"/>
            </a:rPr>
            <a:t>guard</a:t>
          </a:r>
          <a:r>
            <a:rPr lang="en-US" sz="1050" b="0" baseline="0">
              <a:latin typeface="Tahoma" panose="020B0604030504040204" pitchFamily="34" charset="0"/>
              <a:ea typeface="Tahoma" panose="020B0604030504040204" pitchFamily="34" charset="0"/>
              <a:cs typeface="Tahoma" panose="020B0604030504040204" pitchFamily="34" charset="0"/>
            </a:rPr>
            <a:t> them. But like an iceberg, you keep your vulnerable needs hidden beneath the surface of guarded political expressions.</a:t>
          </a:r>
        </a:p>
        <a:p>
          <a:pPr algn="l"/>
          <a:endParaRPr lang="en-US" sz="1050" b="0">
            <a:latin typeface="Tahoma" panose="020B0604030504040204" pitchFamily="34" charset="0"/>
            <a:ea typeface="Tahoma" panose="020B0604030504040204" pitchFamily="34" charset="0"/>
            <a:cs typeface="Tahoma" panose="020B0604030504040204" pitchFamily="34" charset="0"/>
          </a:endParaRPr>
        </a:p>
        <a:p>
          <a:pPr algn="l"/>
          <a:endParaRPr lang="en-US" sz="105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93978</xdr:colOff>
      <xdr:row>1137</xdr:row>
      <xdr:rowOff>208279</xdr:rowOff>
    </xdr:from>
    <xdr:to>
      <xdr:col>6</xdr:col>
      <xdr:colOff>457200</xdr:colOff>
      <xdr:row>1140</xdr:row>
      <xdr:rowOff>45720</xdr:rowOff>
    </xdr:to>
    <xdr:sp macro="" textlink="">
      <xdr:nvSpPr>
        <xdr:cNvPr id="1962" name="TextBox 1961">
          <a:extLst>
            <a:ext uri="{FF2B5EF4-FFF2-40B4-BE49-F238E27FC236}">
              <a16:creationId xmlns:a16="http://schemas.microsoft.com/office/drawing/2014/main" id="{00000000-0008-0000-0200-0000AA070000}"/>
            </a:ext>
          </a:extLst>
        </xdr:cNvPr>
        <xdr:cNvSpPr txBox="1"/>
      </xdr:nvSpPr>
      <xdr:spPr>
        <a:xfrm>
          <a:off x="93978" y="217965019"/>
          <a:ext cx="2961642" cy="4394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Up until</a:t>
          </a:r>
          <a:r>
            <a:rPr lang="en-US" sz="1050" b="0" baseline="0">
              <a:latin typeface="Tahoma" panose="020B0604030504040204" pitchFamily="34" charset="0"/>
              <a:ea typeface="Tahoma" panose="020B0604030504040204" pitchFamily="34" charset="0"/>
              <a:cs typeface="Tahoma" panose="020B0604030504040204" pitchFamily="34" charset="0"/>
            </a:rPr>
            <a:t> now, who do you fault the most for political polarization?</a:t>
          </a:r>
          <a:endParaRPr lang="en-US" sz="100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93978</xdr:colOff>
      <xdr:row>1139</xdr:row>
      <xdr:rowOff>147319</xdr:rowOff>
    </xdr:from>
    <xdr:to>
      <xdr:col>6</xdr:col>
      <xdr:colOff>373380</xdr:colOff>
      <xdr:row>1142</xdr:row>
      <xdr:rowOff>45720</xdr:rowOff>
    </xdr:to>
    <xdr:sp macro="" textlink="">
      <xdr:nvSpPr>
        <xdr:cNvPr id="2198" name="TextBox 2197">
          <a:extLst>
            <a:ext uri="{FF2B5EF4-FFF2-40B4-BE49-F238E27FC236}">
              <a16:creationId xmlns:a16="http://schemas.microsoft.com/office/drawing/2014/main" id="{00000000-0008-0000-0200-000096080000}"/>
            </a:ext>
          </a:extLst>
        </xdr:cNvPr>
        <xdr:cNvSpPr txBox="1"/>
      </xdr:nvSpPr>
      <xdr:spPr>
        <a:xfrm>
          <a:off x="93978" y="218323159"/>
          <a:ext cx="2877822" cy="4394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Besides these</a:t>
          </a:r>
          <a:r>
            <a:rPr lang="en-US" sz="1050" b="0" baseline="0">
              <a:latin typeface="Tahoma" panose="020B0604030504040204" pitchFamily="34" charset="0"/>
              <a:ea typeface="Tahoma" panose="020B0604030504040204" pitchFamily="34" charset="0"/>
              <a:cs typeface="Tahoma" panose="020B0604030504040204" pitchFamily="34" charset="0"/>
            </a:rPr>
            <a:t>, who do you fault the most for political polarization?</a:t>
          </a:r>
          <a:endParaRPr lang="en-US" sz="100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63498</xdr:colOff>
      <xdr:row>1174</xdr:row>
      <xdr:rowOff>116839</xdr:rowOff>
    </xdr:from>
    <xdr:to>
      <xdr:col>5</xdr:col>
      <xdr:colOff>251460</xdr:colOff>
      <xdr:row>1177</xdr:row>
      <xdr:rowOff>22860</xdr:rowOff>
    </xdr:to>
    <xdr:sp macro="" textlink="">
      <xdr:nvSpPr>
        <xdr:cNvPr id="2220" name="TextBox 2219">
          <a:extLst>
            <a:ext uri="{FF2B5EF4-FFF2-40B4-BE49-F238E27FC236}">
              <a16:creationId xmlns:a16="http://schemas.microsoft.com/office/drawing/2014/main" id="{00000000-0008-0000-0200-0000AC080000}"/>
            </a:ext>
          </a:extLst>
        </xdr:cNvPr>
        <xdr:cNvSpPr txBox="1"/>
      </xdr:nvSpPr>
      <xdr:spPr>
        <a:xfrm>
          <a:off x="63498" y="226171759"/>
          <a:ext cx="2291082" cy="44704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b="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rPr>
            <a:t>How well do you trust politics to respect</a:t>
          </a:r>
          <a:r>
            <a:rPr lang="en-US" sz="1100" b="0" baseline="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rPr>
            <a:t> your politicized needs?</a:t>
          </a:r>
          <a:endParaRPr lang="en-US" sz="1050" b="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33018</xdr:colOff>
      <xdr:row>1151</xdr:row>
      <xdr:rowOff>55879</xdr:rowOff>
    </xdr:from>
    <xdr:to>
      <xdr:col>13</xdr:col>
      <xdr:colOff>53340</xdr:colOff>
      <xdr:row>1160</xdr:row>
      <xdr:rowOff>22860</xdr:rowOff>
    </xdr:to>
    <xdr:grpSp>
      <xdr:nvGrpSpPr>
        <xdr:cNvPr id="10" name="Group 9">
          <a:extLst>
            <a:ext uri="{FF2B5EF4-FFF2-40B4-BE49-F238E27FC236}">
              <a16:creationId xmlns:a16="http://schemas.microsoft.com/office/drawing/2014/main" id="{00000000-0008-0000-0200-00000A000000}"/>
            </a:ext>
          </a:extLst>
        </xdr:cNvPr>
        <xdr:cNvGrpSpPr/>
      </xdr:nvGrpSpPr>
      <xdr:grpSpPr>
        <a:xfrm>
          <a:off x="33018" y="229562659"/>
          <a:ext cx="6169662" cy="1879601"/>
          <a:chOff x="10158" y="220502478"/>
          <a:chExt cx="6085842" cy="1902461"/>
        </a:xfrm>
      </xdr:grpSpPr>
      <xdr:sp macro="" textlink="">
        <xdr:nvSpPr>
          <xdr:cNvPr id="2245" name="TextBox 2244">
            <a:extLst>
              <a:ext uri="{FF2B5EF4-FFF2-40B4-BE49-F238E27FC236}">
                <a16:creationId xmlns:a16="http://schemas.microsoft.com/office/drawing/2014/main" id="{00000000-0008-0000-0200-0000C5080000}"/>
              </a:ext>
            </a:extLst>
          </xdr:cNvPr>
          <xdr:cNvSpPr txBox="1"/>
        </xdr:nvSpPr>
        <xdr:spPr>
          <a:xfrm>
            <a:off x="10158" y="220502478"/>
            <a:ext cx="6085842" cy="190246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SWOT stands for 1) </a:t>
            </a:r>
            <a:r>
              <a:rPr lang="en-US" sz="1050" b="1">
                <a:latin typeface="Tahoma" panose="020B0604030504040204" pitchFamily="34" charset="0"/>
                <a:ea typeface="Tahoma" panose="020B0604030504040204" pitchFamily="34" charset="0"/>
                <a:cs typeface="Tahoma" panose="020B0604030504040204" pitchFamily="34" charset="0"/>
              </a:rPr>
              <a:t>s</a:t>
            </a:r>
            <a:r>
              <a:rPr lang="en-US" sz="1050" b="0">
                <a:latin typeface="Tahoma" panose="020B0604030504040204" pitchFamily="34" charset="0"/>
                <a:ea typeface="Tahoma" panose="020B0604030504040204" pitchFamily="34" charset="0"/>
                <a:cs typeface="Tahoma" panose="020B0604030504040204" pitchFamily="34" charset="0"/>
              </a:rPr>
              <a:t>trengths, 2) </a:t>
            </a:r>
            <a:r>
              <a:rPr lang="en-US" sz="1050" b="1">
                <a:latin typeface="Tahoma" panose="020B0604030504040204" pitchFamily="34" charset="0"/>
                <a:ea typeface="Tahoma" panose="020B0604030504040204" pitchFamily="34" charset="0"/>
                <a:cs typeface="Tahoma" panose="020B0604030504040204" pitchFamily="34" charset="0"/>
              </a:rPr>
              <a:t>w</a:t>
            </a:r>
            <a:r>
              <a:rPr lang="en-US" sz="1050" b="0">
                <a:latin typeface="Tahoma" panose="020B0604030504040204" pitchFamily="34" charset="0"/>
                <a:ea typeface="Tahoma" panose="020B0604030504040204" pitchFamily="34" charset="0"/>
                <a:cs typeface="Tahoma" panose="020B0604030504040204" pitchFamily="34" charset="0"/>
              </a:rPr>
              <a:t>eaknesses, 3) </a:t>
            </a:r>
            <a:r>
              <a:rPr lang="en-US" sz="1050" b="1">
                <a:latin typeface="Tahoma" panose="020B0604030504040204" pitchFamily="34" charset="0"/>
                <a:ea typeface="Tahoma" panose="020B0604030504040204" pitchFamily="34" charset="0"/>
                <a:cs typeface="Tahoma" panose="020B0604030504040204" pitchFamily="34" charset="0"/>
              </a:rPr>
              <a:t>o</a:t>
            </a:r>
            <a:r>
              <a:rPr lang="en-US" sz="1050" b="0">
                <a:latin typeface="Tahoma" panose="020B0604030504040204" pitchFamily="34" charset="0"/>
                <a:ea typeface="Tahoma" panose="020B0604030504040204" pitchFamily="34" charset="0"/>
                <a:cs typeface="Tahoma" panose="020B0604030504040204" pitchFamily="34" charset="0"/>
              </a:rPr>
              <a:t>pportunities,</a:t>
            </a:r>
            <a:r>
              <a:rPr lang="en-US" sz="1050" b="0" baseline="0">
                <a:latin typeface="Tahoma" panose="020B0604030504040204" pitchFamily="34" charset="0"/>
                <a:ea typeface="Tahoma" panose="020B0604030504040204" pitchFamily="34" charset="0"/>
                <a:cs typeface="Tahoma" panose="020B0604030504040204" pitchFamily="34" charset="0"/>
              </a:rPr>
              <a:t> and 4) </a:t>
            </a:r>
            <a:r>
              <a:rPr lang="en-US" sz="1050" b="1" baseline="0">
                <a:latin typeface="Tahoma" panose="020B0604030504040204" pitchFamily="34" charset="0"/>
                <a:ea typeface="Tahoma" panose="020B0604030504040204" pitchFamily="34" charset="0"/>
                <a:cs typeface="Tahoma" panose="020B0604030504040204" pitchFamily="34" charset="0"/>
              </a:rPr>
              <a:t>t</a:t>
            </a:r>
            <a:r>
              <a:rPr lang="en-US" sz="1050" b="0" baseline="0">
                <a:latin typeface="Tahoma" panose="020B0604030504040204" pitchFamily="34" charset="0"/>
                <a:ea typeface="Tahoma" panose="020B0604030504040204" pitchFamily="34" charset="0"/>
                <a:cs typeface="Tahoma" panose="020B0604030504040204" pitchFamily="34" charset="0"/>
              </a:rPr>
              <a:t>hreats. It is a popular analysis tool for enterprises to look inward and outward at both the good and bad. By looking inward and outward, it can capture the psychosocial dynamics affecting your politicized needs.</a:t>
            </a:r>
          </a:p>
          <a:p>
            <a:pPr algn="l"/>
            <a:endParaRPr lang="en-US" sz="1100" b="0" baseline="0">
              <a:latin typeface="Tahoma" panose="020B0604030504040204" pitchFamily="34" charset="0"/>
              <a:ea typeface="Tahoma" panose="020B0604030504040204" pitchFamily="34" charset="0"/>
              <a:cs typeface="Tahoma" panose="020B0604030504040204" pitchFamily="34" charset="0"/>
            </a:endParaRPr>
          </a:p>
          <a:p>
            <a:pPr algn="l"/>
            <a:r>
              <a:rPr lang="en-US" sz="1100" b="0" baseline="0">
                <a:latin typeface="Tahoma" panose="020B0604030504040204" pitchFamily="34" charset="0"/>
                <a:ea typeface="Tahoma" panose="020B0604030504040204" pitchFamily="34" charset="0"/>
                <a:cs typeface="Tahoma" panose="020B0604030504040204" pitchFamily="34" charset="0"/>
              </a:rPr>
              <a:t>The </a:t>
            </a:r>
            <a:r>
              <a:rPr lang="en-US" sz="1100" b="1" i="0" spc="5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wide-oriented</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generally </a:t>
            </a:r>
            <a:r>
              <a:rPr lang="en-US" sz="1100" b="1" i="1" baseline="0">
                <a:latin typeface="Tahoma" panose="020B0604030504040204" pitchFamily="34" charset="0"/>
                <a:ea typeface="Tahoma" panose="020B0604030504040204" pitchFamily="34" charset="0"/>
                <a:cs typeface="Tahoma" panose="020B0604030504040204" pitchFamily="34" charset="0"/>
              </a:rPr>
              <a:t>guard</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more resolved </a:t>
            </a:r>
            <a:r>
              <a:rPr lang="en-US" sz="1100" b="0" i="1" baseline="0">
                <a:ln>
                  <a:solidFill>
                    <a:schemeClr val="accent6">
                      <a:lumMod val="50000"/>
                    </a:schemeClr>
                  </a:solidFill>
                </a:ln>
                <a:solidFill>
                  <a:srgbClr val="00B050"/>
                </a:solidFill>
                <a:latin typeface="Tahoma" panose="020B0604030504040204" pitchFamily="34" charset="0"/>
                <a:ea typeface="Tahoma" panose="020B0604030504040204" pitchFamily="34" charset="0"/>
                <a:cs typeface="Tahoma" panose="020B0604030504040204" pitchFamily="34" charset="0"/>
              </a:rPr>
              <a:t>self-needs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while trying to </a:t>
            </a:r>
            <a:r>
              <a:rPr lang="en-US" sz="1100" b="1" i="1" baseline="0">
                <a:latin typeface="Tahoma" panose="020B0604030504040204" pitchFamily="34" charset="0"/>
                <a:ea typeface="Tahoma" panose="020B0604030504040204" pitchFamily="34" charset="0"/>
                <a:cs typeface="Tahoma" panose="020B0604030504040204" pitchFamily="34" charset="0"/>
              </a:rPr>
              <a:t>relieve</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less resolved </a:t>
            </a:r>
            <a:r>
              <a:rPr lang="en-US" sz="1100" b="0" i="1" baseline="0">
                <a:ln>
                  <a:solidFill>
                    <a:srgbClr val="3C1E5A"/>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algn="l"/>
            <a:r>
              <a:rPr lang="en-US" sz="1100" b="0" baseline="0">
                <a:latin typeface="Tahoma" panose="020B0604030504040204" pitchFamily="34" charset="0"/>
                <a:ea typeface="Tahoma" panose="020B0604030504040204" pitchFamily="34" charset="0"/>
                <a:cs typeface="Tahoma" panose="020B0604030504040204" pitchFamily="34" charset="0"/>
              </a:rPr>
              <a:t>The </a:t>
            </a:r>
            <a:r>
              <a:rPr lang="en-US" sz="1100" b="1" i="0" spc="50" baseline="0">
                <a:ln>
                  <a:solidFill>
                    <a:srgbClr val="C00000"/>
                  </a:solidFill>
                </a:ln>
                <a:solidFill>
                  <a:srgbClr val="FF7171"/>
                </a:solidFill>
                <a:latin typeface="Tahoma" panose="020B0604030504040204" pitchFamily="34" charset="0"/>
                <a:ea typeface="Tahoma" panose="020B0604030504040204" pitchFamily="34" charset="0"/>
                <a:cs typeface="Tahoma" panose="020B0604030504040204" pitchFamily="34" charset="0"/>
              </a:rPr>
              <a:t>deep-oriented</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generally </a:t>
            </a:r>
            <a:r>
              <a:rPr lang="en-US" sz="1100" b="1" i="1" baseline="0">
                <a:latin typeface="Tahoma" panose="020B0604030504040204" pitchFamily="34" charset="0"/>
                <a:ea typeface="Tahoma" panose="020B0604030504040204" pitchFamily="34" charset="0"/>
                <a:cs typeface="Tahoma" panose="020B0604030504040204" pitchFamily="34" charset="0"/>
              </a:rPr>
              <a:t>guard</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more resolved </a:t>
            </a:r>
            <a:r>
              <a:rPr lang="en-US" sz="1100" b="0" i="1" baseline="0">
                <a:ln>
                  <a:solidFill>
                    <a:srgbClr val="3C1E5A"/>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while trying to </a:t>
            </a:r>
            <a:r>
              <a:rPr lang="en-US" sz="1100" b="1" i="1" baseline="0">
                <a:latin typeface="Tahoma" panose="020B0604030504040204" pitchFamily="34" charset="0"/>
                <a:ea typeface="Tahoma" panose="020B0604030504040204" pitchFamily="34" charset="0"/>
                <a:cs typeface="Tahoma" panose="020B0604030504040204" pitchFamily="34" charset="0"/>
              </a:rPr>
              <a:t>relieve</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less resolved </a:t>
            </a:r>
            <a:r>
              <a:rPr lang="en-US" sz="1100" b="0" i="1" baseline="0">
                <a:ln>
                  <a:solidFill>
                    <a:schemeClr val="accent6">
                      <a:lumMod val="50000"/>
                    </a:schemeClr>
                  </a:solidFill>
                </a:ln>
                <a:solidFill>
                  <a:srgbClr val="00B050"/>
                </a:solidFill>
                <a:latin typeface="Tahoma" panose="020B0604030504040204" pitchFamily="34" charset="0"/>
                <a:ea typeface="Tahoma" panose="020B0604030504040204" pitchFamily="34" charset="0"/>
                <a:cs typeface="Tahoma" panose="020B0604030504040204" pitchFamily="34" charset="0"/>
              </a:rPr>
              <a:t>self-needs</a:t>
            </a:r>
            <a:r>
              <a:rPr lang="en-US" sz="1100" b="0" baseline="0">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2248" name="TextBox 2247">
            <a:extLst>
              <a:ext uri="{FF2B5EF4-FFF2-40B4-BE49-F238E27FC236}">
                <a16:creationId xmlns:a16="http://schemas.microsoft.com/office/drawing/2014/main" id="{00000000-0008-0000-0200-0000C8080000}"/>
              </a:ext>
            </a:extLst>
          </xdr:cNvPr>
          <xdr:cNvSpPr txBox="1"/>
        </xdr:nvSpPr>
        <xdr:spPr>
          <a:xfrm>
            <a:off x="4168140" y="221195899"/>
            <a:ext cx="1905000" cy="11633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b="0" baseline="0">
                <a:latin typeface="Tahoma" panose="020B0604030504040204" pitchFamily="34" charset="0"/>
                <a:ea typeface="Tahoma" panose="020B0604030504040204" pitchFamily="34" charset="0"/>
                <a:cs typeface="Tahoma" panose="020B0604030504040204" pitchFamily="34" charset="0"/>
              </a:rPr>
              <a:t>This contrasting distinction provides the basis for this SWOT tool. You can use it to determine which is the stronger and the weaker </a:t>
            </a:r>
            <a:r>
              <a:rPr lang="en-US" sz="1100" b="0" spc="-20" baseline="0">
                <a:latin typeface="Tahoma" panose="020B0604030504040204" pitchFamily="34" charset="0"/>
                <a:ea typeface="Tahoma" panose="020B0604030504040204" pitchFamily="34" charset="0"/>
                <a:cs typeface="Tahoma" panose="020B0604030504040204" pitchFamily="34" charset="0"/>
              </a:rPr>
              <a:t>political claim on each side.</a:t>
            </a:r>
          </a:p>
        </xdr:txBody>
      </xdr:sp>
    </xdr:grpSp>
    <xdr:clientData/>
  </xdr:twoCellAnchor>
  <xdr:twoCellAnchor>
    <xdr:from>
      <xdr:col>0</xdr:col>
      <xdr:colOff>68580</xdr:colOff>
      <xdr:row>1075</xdr:row>
      <xdr:rowOff>368299</xdr:rowOff>
    </xdr:from>
    <xdr:to>
      <xdr:col>7</xdr:col>
      <xdr:colOff>381000</xdr:colOff>
      <xdr:row>1077</xdr:row>
      <xdr:rowOff>38100</xdr:rowOff>
    </xdr:to>
    <xdr:sp macro="" textlink="">
      <xdr:nvSpPr>
        <xdr:cNvPr id="2257" name="TextBox 2256">
          <a:extLst>
            <a:ext uri="{FF2B5EF4-FFF2-40B4-BE49-F238E27FC236}">
              <a16:creationId xmlns:a16="http://schemas.microsoft.com/office/drawing/2014/main" id="{00000000-0008-0000-0200-0000D1080000}"/>
            </a:ext>
          </a:extLst>
        </xdr:cNvPr>
        <xdr:cNvSpPr txBox="1"/>
      </xdr:nvSpPr>
      <xdr:spPr>
        <a:xfrm>
          <a:off x="68580" y="203487019"/>
          <a:ext cx="3406140" cy="264161"/>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latin typeface="Arial" panose="020B0604020202020204" pitchFamily="34" charset="0"/>
              <a:ea typeface="Tahoma" panose="020B0604030504040204" pitchFamily="34" charset="0"/>
              <a:cs typeface="Arial" panose="020B0604020202020204" pitchFamily="34" charset="0"/>
            </a:rPr>
            <a:t>This is what </a:t>
          </a:r>
          <a:r>
            <a:rPr lang="en-US" sz="1100" b="1" baseline="0">
              <a:solidFill>
                <a:schemeClr val="dk1"/>
              </a:solidFill>
              <a:latin typeface="Arial" panose="020B0604020202020204" pitchFamily="34" charset="0"/>
              <a:ea typeface="Tahoma" panose="020B0604030504040204" pitchFamily="34" charset="0"/>
              <a:cs typeface="Arial" panose="020B0604020202020204" pitchFamily="34" charset="0"/>
            </a:rPr>
            <a:t>mature responsiveness </a:t>
          </a:r>
          <a:r>
            <a:rPr lang="en-US" sz="1100" b="0" baseline="0">
              <a:solidFill>
                <a:schemeClr val="dk1"/>
              </a:solidFill>
              <a:latin typeface="Arial" panose="020B0604020202020204" pitchFamily="34" charset="0"/>
              <a:ea typeface="Tahoma" panose="020B0604030504040204" pitchFamily="34" charset="0"/>
              <a:cs typeface="Arial" panose="020B0604020202020204" pitchFamily="34" charset="0"/>
            </a:rPr>
            <a:t>can look like</a:t>
          </a:r>
          <a:endParaRPr lang="en-US" sz="1100" b="0">
            <a:latin typeface="Arial" panose="020B0604020202020204" pitchFamily="34" charset="0"/>
            <a:ea typeface="Tahoma" panose="020B0604030504040204" pitchFamily="34" charset="0"/>
            <a:cs typeface="Arial" panose="020B0604020202020204" pitchFamily="34" charset="0"/>
          </a:endParaRPr>
        </a:p>
      </xdr:txBody>
    </xdr:sp>
    <xdr:clientData/>
  </xdr:twoCellAnchor>
  <xdr:twoCellAnchor>
    <xdr:from>
      <xdr:col>10</xdr:col>
      <xdr:colOff>449580</xdr:colOff>
      <xdr:row>717</xdr:row>
      <xdr:rowOff>53340</xdr:rowOff>
    </xdr:from>
    <xdr:to>
      <xdr:col>12</xdr:col>
      <xdr:colOff>373380</xdr:colOff>
      <xdr:row>722</xdr:row>
      <xdr:rowOff>91440</xdr:rowOff>
    </xdr:to>
    <xdr:grpSp>
      <xdr:nvGrpSpPr>
        <xdr:cNvPr id="50" name="Group 49">
          <a:extLst>
            <a:ext uri="{FF2B5EF4-FFF2-40B4-BE49-F238E27FC236}">
              <a16:creationId xmlns:a16="http://schemas.microsoft.com/office/drawing/2014/main" id="{00000000-0008-0000-0200-000032000000}"/>
            </a:ext>
          </a:extLst>
        </xdr:cNvPr>
        <xdr:cNvGrpSpPr/>
      </xdr:nvGrpSpPr>
      <xdr:grpSpPr>
        <a:xfrm>
          <a:off x="5090160" y="140124180"/>
          <a:ext cx="929640" cy="914400"/>
          <a:chOff x="3680460" y="132039360"/>
          <a:chExt cx="914400" cy="914400"/>
        </a:xfrm>
        <a:effectLst>
          <a:outerShdw blurRad="63500" sx="102000" sy="102000" algn="ctr" rotWithShape="0">
            <a:prstClr val="black">
              <a:alpha val="40000"/>
            </a:prstClr>
          </a:outerShdw>
        </a:effectLst>
      </xdr:grpSpPr>
      <xdr:sp macro="" textlink="">
        <xdr:nvSpPr>
          <xdr:cNvPr id="48" name="Octagon 47">
            <a:extLst>
              <a:ext uri="{FF2B5EF4-FFF2-40B4-BE49-F238E27FC236}">
                <a16:creationId xmlns:a16="http://schemas.microsoft.com/office/drawing/2014/main" id="{00000000-0008-0000-0200-000030000000}"/>
              </a:ext>
            </a:extLst>
          </xdr:cNvPr>
          <xdr:cNvSpPr>
            <a:spLocks noChangeAspect="1"/>
          </xdr:cNvSpPr>
        </xdr:nvSpPr>
        <xdr:spPr>
          <a:xfrm>
            <a:off x="3680460" y="132039360"/>
            <a:ext cx="914400" cy="914400"/>
          </a:xfrm>
          <a:prstGeom prst="octagon">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46" name="Octagon 2245">
            <a:extLst>
              <a:ext uri="{FF2B5EF4-FFF2-40B4-BE49-F238E27FC236}">
                <a16:creationId xmlns:a16="http://schemas.microsoft.com/office/drawing/2014/main" id="{00000000-0008-0000-0200-0000C6080000}"/>
              </a:ext>
            </a:extLst>
          </xdr:cNvPr>
          <xdr:cNvSpPr>
            <a:spLocks noChangeAspect="1"/>
          </xdr:cNvSpPr>
        </xdr:nvSpPr>
        <xdr:spPr>
          <a:xfrm>
            <a:off x="3726180" y="132085080"/>
            <a:ext cx="822960" cy="822960"/>
          </a:xfrm>
          <a:prstGeom prst="octagon">
            <a:avLst/>
          </a:prstGeom>
          <a:solidFill>
            <a:srgbClr val="FF0000"/>
          </a:solidFill>
          <a:ln w="28575">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n-US" sz="1800" b="1">
                <a:latin typeface="Tahoma" panose="020B0604030504040204" pitchFamily="34" charset="0"/>
                <a:ea typeface="Tahoma" panose="020B0604030504040204" pitchFamily="34" charset="0"/>
                <a:cs typeface="Tahoma" panose="020B0604030504040204" pitchFamily="34" charset="0"/>
              </a:rPr>
              <a:t>STOP</a:t>
            </a:r>
            <a:endParaRPr lang="en-US" sz="11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735</xdr:row>
      <xdr:rowOff>167641</xdr:rowOff>
    </xdr:from>
    <xdr:to>
      <xdr:col>13</xdr:col>
      <xdr:colOff>0</xdr:colOff>
      <xdr:row>739</xdr:row>
      <xdr:rowOff>121921</xdr:rowOff>
    </xdr:to>
    <xdr:sp macro="" textlink="">
      <xdr:nvSpPr>
        <xdr:cNvPr id="2262" name="TextBox 2261">
          <a:extLst>
            <a:ext uri="{FF2B5EF4-FFF2-40B4-BE49-F238E27FC236}">
              <a16:creationId xmlns:a16="http://schemas.microsoft.com/office/drawing/2014/main" id="{00000000-0008-0000-0200-0000D6080000}"/>
            </a:ext>
          </a:extLst>
        </xdr:cNvPr>
        <xdr:cNvSpPr txBox="1"/>
      </xdr:nvSpPr>
      <xdr:spPr>
        <a:xfrm>
          <a:off x="114300" y="140337541"/>
          <a:ext cx="582930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algn="l" defTabSz="914400" eaLnBrk="1" fontAlgn="auto" latinLnBrk="0" hangingPunct="1">
            <a:lnSpc>
              <a:spcPct val="100000"/>
            </a:lnSpc>
            <a:spcBef>
              <a:spcPts val="0"/>
            </a:spcBef>
            <a:spcAft>
              <a:spcPts val="600"/>
            </a:spcAft>
            <a:buClrTx/>
            <a:buSzTx/>
            <a:buFontTx/>
            <a:buNone/>
            <a:tabLst/>
            <a:defRPr/>
          </a:pPr>
          <a:r>
            <a:rPr lang="en-US" sz="1150" baseline="0">
              <a:latin typeface="Tahoma" panose="020B0604030504040204" pitchFamily="34" charset="0"/>
              <a:ea typeface="Tahoma" panose="020B0604030504040204" pitchFamily="34" charset="0"/>
              <a:cs typeface="Tahoma" panose="020B0604030504040204" pitchFamily="34" charset="0"/>
            </a:rPr>
            <a:t>Political elites cannot know what they don't know, about your specific needs and mine. </a:t>
          </a:r>
          <a:r>
            <a:rPr lang="en-US" sz="1150" spc="-10" baseline="0">
              <a:latin typeface="Tahoma" panose="020B0604030504040204" pitchFamily="34" charset="0"/>
              <a:ea typeface="Tahoma" panose="020B0604030504040204" pitchFamily="34" charset="0"/>
              <a:cs typeface="Tahoma" panose="020B0604030504040204" pitchFamily="34" charset="0"/>
            </a:rPr>
            <a:t>Popular politics easily lead us all astray. </a:t>
          </a:r>
          <a:r>
            <a:rPr lang="en-US" sz="1150" spc="-10" baseline="0">
              <a:ln>
                <a:solidFill>
                  <a:srgbClr val="004623"/>
                </a:solidFill>
              </a:ln>
              <a:latin typeface="Tahoma" panose="020B0604030504040204" pitchFamily="34" charset="0"/>
              <a:ea typeface="Tahoma" panose="020B0604030504040204" pitchFamily="34" charset="0"/>
              <a:cs typeface="Tahoma" panose="020B0604030504040204" pitchFamily="34" charset="0"/>
            </a:rPr>
            <a:t>Harmony Politics </a:t>
          </a:r>
          <a:r>
            <a:rPr lang="en-US" sz="1150" spc="-10" baseline="0">
              <a:latin typeface="Tahoma" panose="020B0604030504040204" pitchFamily="34" charset="0"/>
              <a:ea typeface="Tahoma" panose="020B0604030504040204" pitchFamily="34" charset="0"/>
              <a:cs typeface="Tahoma" panose="020B0604030504040204" pitchFamily="34" charset="0"/>
            </a:rPr>
            <a:t>aims to powerfully fill this</a:t>
          </a:r>
          <a:r>
            <a:rPr lang="en-US" sz="1150" spc="-10" baseline="0">
              <a:solidFill>
                <a:schemeClr val="dk1"/>
              </a:solidFill>
              <a:latin typeface="Tahoma" panose="020B0604030504040204" pitchFamily="34" charset="0"/>
              <a:ea typeface="Tahoma" panose="020B0604030504040204" pitchFamily="34" charset="0"/>
              <a:cs typeface="Tahoma" panose="020B0604030504040204" pitchFamily="34" charset="0"/>
            </a:rPr>
            <a:t> gap</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0"/>
            </a:spcBef>
            <a:spcAft>
              <a:spcPts val="600"/>
            </a:spcAft>
            <a:buClrTx/>
            <a:buSzTx/>
            <a:buFontTx/>
            <a:buNone/>
            <a:tabLst/>
            <a:defRPr/>
          </a:pPr>
          <a:r>
            <a:rPr lang="en-US" sz="1150" b="1" spc="-30" baseline="0">
              <a:solidFill>
                <a:schemeClr val="dk1"/>
              </a:solidFill>
              <a:latin typeface="Tahoma" panose="020B0604030504040204" pitchFamily="34" charset="0"/>
              <a:ea typeface="Tahoma" panose="020B0604030504040204" pitchFamily="34" charset="0"/>
              <a:cs typeface="Tahoma" panose="020B0604030504040204" pitchFamily="34" charset="0"/>
            </a:rPr>
            <a:t>Power isn’t really power until it resolves needs. Otherwise it’s just coercive force.</a:t>
          </a:r>
        </a:p>
        <a:p>
          <a:pPr algn="l">
            <a:spcAft>
              <a:spcPts val="600"/>
            </a:spcAft>
          </a:pPr>
          <a:endParaRPr lang="en-US" sz="11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106680</xdr:colOff>
      <xdr:row>726</xdr:row>
      <xdr:rowOff>30484</xdr:rowOff>
    </xdr:from>
    <xdr:to>
      <xdr:col>13</xdr:col>
      <xdr:colOff>0</xdr:colOff>
      <xdr:row>735</xdr:row>
      <xdr:rowOff>133354</xdr:rowOff>
    </xdr:to>
    <xdr:grpSp>
      <xdr:nvGrpSpPr>
        <xdr:cNvPr id="52" name="Group 51">
          <a:extLst>
            <a:ext uri="{FF2B5EF4-FFF2-40B4-BE49-F238E27FC236}">
              <a16:creationId xmlns:a16="http://schemas.microsoft.com/office/drawing/2014/main" id="{00000000-0008-0000-0200-000034000000}"/>
            </a:ext>
          </a:extLst>
        </xdr:cNvPr>
        <xdr:cNvGrpSpPr/>
      </xdr:nvGrpSpPr>
      <xdr:grpSpPr>
        <a:xfrm>
          <a:off x="106680" y="141678664"/>
          <a:ext cx="6042660" cy="1680210"/>
          <a:chOff x="83820" y="132664201"/>
          <a:chExt cx="5958840" cy="1681962"/>
        </a:xfrm>
      </xdr:grpSpPr>
      <xdr:sp macro="" textlink="">
        <xdr:nvSpPr>
          <xdr:cNvPr id="2254" name="TextBox 2253">
            <a:extLst>
              <a:ext uri="{FF2B5EF4-FFF2-40B4-BE49-F238E27FC236}">
                <a16:creationId xmlns:a16="http://schemas.microsoft.com/office/drawing/2014/main" id="{00000000-0008-0000-0200-0000CE080000}"/>
              </a:ext>
            </a:extLst>
          </xdr:cNvPr>
          <xdr:cNvSpPr txBox="1"/>
        </xdr:nvSpPr>
        <xdr:spPr>
          <a:xfrm>
            <a:off x="83820" y="132664201"/>
            <a:ext cx="2514600" cy="1681962"/>
          </a:xfrm>
          <a:prstGeom prst="rect">
            <a:avLst/>
          </a:prstGeom>
          <a:solidFill>
            <a:srgbClr val="A0FFCD">
              <a:alpha val="98039"/>
            </a:srgbClr>
          </a:solidFill>
          <a:ln w="9525" cmpd="sng">
            <a:noFill/>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spcAft>
                <a:spcPts val="300"/>
              </a:spcAft>
            </a:pPr>
            <a:r>
              <a:rPr lang="en-US" sz="1600" b="1">
                <a:effectLst>
                  <a:glow rad="12700">
                    <a:srgbClr val="004623">
                      <a:alpha val="30000"/>
                    </a:srgbClr>
                  </a:glow>
                  <a:outerShdw blurRad="50800" dist="38100" dir="8100000" algn="tr"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Small tribal </a:t>
            </a:r>
            <a:r>
              <a:rPr lang="en-US" sz="1600" b="1">
                <a:solidFill>
                  <a:schemeClr val="dk1"/>
                </a:solidFill>
                <a:effectLst>
                  <a:glow rad="12700">
                    <a:srgbClr val="004623">
                      <a:alpha val="30000"/>
                    </a:srgbClr>
                  </a:glow>
                  <a:outerShdw blurRad="50800" dist="38100" dir="8100000" algn="tr"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society</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Can personally know most of each other's </a:t>
            </a:r>
            <a:r>
              <a:rPr lang="en-US" sz="1200" b="1" i="1" baseline="0">
                <a:latin typeface="Tahoma" panose="020B0604030504040204" pitchFamily="34" charset="0"/>
                <a:ea typeface="Tahoma" panose="020B0604030504040204" pitchFamily="34" charset="0"/>
                <a:cs typeface="Tahoma" panose="020B0604030504040204" pitchFamily="34" charset="0"/>
              </a:rPr>
              <a:t>specific</a:t>
            </a:r>
            <a:r>
              <a:rPr lang="en-US" sz="1200" baseline="0">
                <a:latin typeface="Tahoma" panose="020B0604030504040204" pitchFamily="34" charset="0"/>
                <a:ea typeface="Tahoma" panose="020B0604030504040204" pitchFamily="34" charset="0"/>
                <a:cs typeface="Tahoma" panose="020B0604030504040204" pitchFamily="34" charset="0"/>
              </a:rPr>
              <a:t> needs. </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Typically sets a high standard </a:t>
            </a:r>
            <a:r>
              <a:rPr lang="en-US" sz="1200" spc="-20" baseline="0">
                <a:latin typeface="Tahoma" panose="020B0604030504040204" pitchFamily="34" charset="0"/>
                <a:ea typeface="Tahoma" panose="020B0604030504040204" pitchFamily="34" charset="0"/>
                <a:cs typeface="Tahoma" panose="020B0604030504040204" pitchFamily="34" charset="0"/>
              </a:rPr>
              <a:t>for </a:t>
            </a:r>
            <a:r>
              <a:rPr lang="en-US" sz="1200" b="1" i="1" spc="-20" baseline="0">
                <a:latin typeface="Tahoma" panose="020B0604030504040204" pitchFamily="34" charset="0"/>
                <a:ea typeface="Tahoma" panose="020B0604030504040204" pitchFamily="34" charset="0"/>
                <a:cs typeface="Tahoma" panose="020B0604030504040204" pitchFamily="34" charset="0"/>
              </a:rPr>
              <a:t>fully resolving </a:t>
            </a:r>
            <a:r>
              <a:rPr lang="en-US" sz="1200" spc="-20" baseline="0">
                <a:latin typeface="Tahoma" panose="020B0604030504040204" pitchFamily="34" charset="0"/>
                <a:ea typeface="Tahoma" panose="020B0604030504040204" pitchFamily="34" charset="0"/>
                <a:cs typeface="Tahoma" panose="020B0604030504040204" pitchFamily="34" charset="0"/>
              </a:rPr>
              <a:t>all needs</a:t>
            </a:r>
            <a:r>
              <a:rPr lang="en-US" sz="1200" baseline="0">
                <a:latin typeface="Tahoma" panose="020B0604030504040204" pitchFamily="34" charset="0"/>
                <a:ea typeface="Tahoma" panose="020B0604030504040204" pitchFamily="34" charset="0"/>
                <a:cs typeface="Tahoma" panose="020B0604030504040204" pitchFamily="34" charset="0"/>
              </a:rPr>
              <a:t>.</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Can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get </a:t>
            </a:r>
            <a:r>
              <a:rPr lang="en-US" sz="1200" b="1" i="1" baseline="0">
                <a:solidFill>
                  <a:schemeClr val="dk1"/>
                </a:solidFill>
                <a:latin typeface="Tahoma" panose="020B0604030504040204" pitchFamily="34" charset="0"/>
                <a:ea typeface="Tahoma" panose="020B0604030504040204" pitchFamily="34" charset="0"/>
                <a:cs typeface="Tahoma" panose="020B0604030504040204" pitchFamily="34" charset="0"/>
              </a:rPr>
              <a:t>everyone's input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on a decision affecting them all. </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260" name="TextBox 2259">
            <a:extLst>
              <a:ext uri="{FF2B5EF4-FFF2-40B4-BE49-F238E27FC236}">
                <a16:creationId xmlns:a16="http://schemas.microsoft.com/office/drawing/2014/main" id="{00000000-0008-0000-0200-0000D4080000}"/>
              </a:ext>
            </a:extLst>
          </xdr:cNvPr>
          <xdr:cNvSpPr txBox="1"/>
        </xdr:nvSpPr>
        <xdr:spPr>
          <a:xfrm>
            <a:off x="3528060" y="132664201"/>
            <a:ext cx="2514600" cy="1681962"/>
          </a:xfrm>
          <a:prstGeom prst="rect">
            <a:avLst/>
          </a:prstGeom>
          <a:solidFill>
            <a:srgbClr val="FF99FF">
              <a:alpha val="98039"/>
            </a:srgbClr>
          </a:solidFill>
          <a:ln w="9525" cmpd="sng">
            <a:no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spcAft>
                <a:spcPts val="300"/>
              </a:spcAft>
            </a:pPr>
            <a:r>
              <a:rPr lang="en-US" sz="1600" b="1" spc="-6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Large</a:t>
            </a:r>
            <a:r>
              <a:rPr lang="en-US" sz="1600" b="1" spc="-60" baseline="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 i</a:t>
            </a:r>
            <a:r>
              <a:rPr lang="en-US" sz="1600" b="1" spc="-6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mpersonal society</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Must </a:t>
            </a:r>
            <a:r>
              <a:rPr lang="en-US" sz="1200" b="1" i="1" baseline="0">
                <a:latin typeface="Tahoma" panose="020B0604030504040204" pitchFamily="34" charset="0"/>
                <a:ea typeface="Tahoma" panose="020B0604030504040204" pitchFamily="34" charset="0"/>
                <a:cs typeface="Tahoma" panose="020B0604030504040204" pitchFamily="34" charset="0"/>
              </a:rPr>
              <a:t>politically</a:t>
            </a:r>
            <a:r>
              <a:rPr lang="en-US" sz="1200" baseline="0">
                <a:latin typeface="Tahoma" panose="020B0604030504040204" pitchFamily="34" charset="0"/>
                <a:ea typeface="Tahoma" panose="020B0604030504040204" pitchFamily="34" charset="0"/>
                <a:cs typeface="Tahoma" panose="020B0604030504040204" pitchFamily="34" charset="0"/>
              </a:rPr>
              <a:t> </a:t>
            </a:r>
            <a:r>
              <a:rPr lang="en-US" sz="1200" b="1" i="1" baseline="0">
                <a:latin typeface="Tahoma" panose="020B0604030504040204" pitchFamily="34" charset="0"/>
                <a:ea typeface="Tahoma" panose="020B0604030504040204" pitchFamily="34" charset="0"/>
                <a:cs typeface="Tahoma" panose="020B0604030504040204" pitchFamily="34" charset="0"/>
              </a:rPr>
              <a:t>generalize</a:t>
            </a:r>
            <a:r>
              <a:rPr lang="en-US" sz="1200" baseline="0">
                <a:latin typeface="Tahoma" panose="020B0604030504040204" pitchFamily="34" charset="0"/>
                <a:ea typeface="Tahoma" panose="020B0604030504040204" pitchFamily="34" charset="0"/>
                <a:cs typeface="Tahoma" panose="020B0604030504040204" pitchFamily="34" charset="0"/>
              </a:rPr>
              <a:t> to reach agreeable public policies. </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Typically sets a lower standard at what is </a:t>
            </a:r>
            <a:r>
              <a:rPr lang="en-US" sz="1200" b="1" i="1" baseline="0">
                <a:latin typeface="Tahoma" panose="020B0604030504040204" pitchFamily="34" charset="0"/>
                <a:ea typeface="Tahoma" panose="020B0604030504040204" pitchFamily="34" charset="0"/>
                <a:cs typeface="Tahoma" panose="020B0604030504040204" pitchFamily="34" charset="0"/>
              </a:rPr>
              <a:t>politically reachable</a:t>
            </a:r>
            <a:r>
              <a:rPr lang="en-US" sz="1200" baseline="0">
                <a:latin typeface="Tahoma" panose="020B0604030504040204" pitchFamily="34" charset="0"/>
                <a:ea typeface="Tahoma" panose="020B0604030504040204" pitchFamily="34" charset="0"/>
                <a:cs typeface="Tahoma" panose="020B0604030504040204" pitchFamily="34" charset="0"/>
              </a:rPr>
              <a:t>. </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Relies on </a:t>
            </a:r>
            <a:r>
              <a:rPr lang="en-US" sz="1200" b="1" i="1" baseline="0">
                <a:latin typeface="Tahoma" panose="020B0604030504040204" pitchFamily="34" charset="0"/>
                <a:ea typeface="Tahoma" panose="020B0604030504040204" pitchFamily="34" charset="0"/>
                <a:cs typeface="Tahoma" panose="020B0604030504040204" pitchFamily="34" charset="0"/>
              </a:rPr>
              <a:t>political norms </a:t>
            </a:r>
            <a:r>
              <a:rPr lang="en-US" sz="1200" baseline="0">
                <a:latin typeface="Tahoma" panose="020B0604030504040204" pitchFamily="34" charset="0"/>
                <a:ea typeface="Tahoma" panose="020B0604030504040204" pitchFamily="34" charset="0"/>
                <a:cs typeface="Tahoma" panose="020B0604030504040204" pitchFamily="34" charset="0"/>
              </a:rPr>
              <a:t>to determine what is best for all.</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51" name="Arrow: Left-Right 50">
            <a:extLst>
              <a:ext uri="{FF2B5EF4-FFF2-40B4-BE49-F238E27FC236}">
                <a16:creationId xmlns:a16="http://schemas.microsoft.com/office/drawing/2014/main" id="{00000000-0008-0000-0200-000033000000}"/>
              </a:ext>
            </a:extLst>
          </xdr:cNvPr>
          <xdr:cNvSpPr/>
        </xdr:nvSpPr>
        <xdr:spPr>
          <a:xfrm>
            <a:off x="2606040" y="13302996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64" name="Arrow: Left-Right 2263">
            <a:extLst>
              <a:ext uri="{FF2B5EF4-FFF2-40B4-BE49-F238E27FC236}">
                <a16:creationId xmlns:a16="http://schemas.microsoft.com/office/drawing/2014/main" id="{00000000-0008-0000-0200-0000D8080000}"/>
              </a:ext>
            </a:extLst>
          </xdr:cNvPr>
          <xdr:cNvSpPr/>
        </xdr:nvSpPr>
        <xdr:spPr>
          <a:xfrm>
            <a:off x="2606040" y="13344144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sp macro="" textlink="">
        <xdr:nvSpPr>
          <xdr:cNvPr id="2542" name="Arrow: Left-Right 2541">
            <a:extLst>
              <a:ext uri="{FF2B5EF4-FFF2-40B4-BE49-F238E27FC236}">
                <a16:creationId xmlns:a16="http://schemas.microsoft.com/office/drawing/2014/main" id="{00000000-0008-0000-0200-0000EE090000}"/>
              </a:ext>
            </a:extLst>
          </xdr:cNvPr>
          <xdr:cNvSpPr/>
        </xdr:nvSpPr>
        <xdr:spPr>
          <a:xfrm>
            <a:off x="2606040" y="13386816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grpSp>
    <xdr:clientData/>
  </xdr:twoCellAnchor>
  <xdr:twoCellAnchor>
    <xdr:from>
      <xdr:col>0</xdr:col>
      <xdr:colOff>106680</xdr:colOff>
      <xdr:row>709</xdr:row>
      <xdr:rowOff>106680</xdr:rowOff>
    </xdr:from>
    <xdr:to>
      <xdr:col>12</xdr:col>
      <xdr:colOff>480060</xdr:colOff>
      <xdr:row>721</xdr:row>
      <xdr:rowOff>15240</xdr:rowOff>
    </xdr:to>
    <xdr:sp macro="" textlink="">
      <xdr:nvSpPr>
        <xdr:cNvPr id="2544" name="You believe whatever serves your needs.">
          <a:extLst>
            <a:ext uri="{FF2B5EF4-FFF2-40B4-BE49-F238E27FC236}">
              <a16:creationId xmlns:a16="http://schemas.microsoft.com/office/drawing/2014/main" id="{00000000-0008-0000-0200-0000F0090000}"/>
            </a:ext>
          </a:extLst>
        </xdr:cNvPr>
        <xdr:cNvSpPr txBox="1">
          <a:spLocks/>
        </xdr:cNvSpPr>
      </xdr:nvSpPr>
      <xdr:spPr>
        <a:xfrm>
          <a:off x="106680" y="130126740"/>
          <a:ext cx="5943600" cy="2011680"/>
        </a:xfrm>
        <a:prstGeom prst="rect">
          <a:avLst/>
        </a:prstGeom>
        <a:noFill/>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spcAft>
              <a:spcPts val="600"/>
            </a:spcAft>
            <a:buNone/>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Political elites </a:t>
          </a:r>
          <a:r>
            <a:rPr lang="en-US" sz="1600" b="1" i="1" baseline="0">
              <a:solidFill>
                <a:schemeClr val="dk1"/>
              </a:solidFill>
              <a:latin typeface="Tahoma" panose="020B0604030504040204" pitchFamily="34" charset="0"/>
              <a:ea typeface="Tahoma" panose="020B0604030504040204" pitchFamily="34" charset="0"/>
              <a:cs typeface="Tahoma" panose="020B0604030504040204" pitchFamily="34" charset="0"/>
            </a:rPr>
            <a:t>follow</a:t>
          </a: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 more than they lead</a:t>
          </a:r>
          <a:endParaRPr lang="en-US" sz="16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inspiring us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resolve</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 both our self-needs and social-needs,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remove</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 pain, </a:t>
          </a:r>
        </a:p>
        <a:p>
          <a:pPr marL="457200" lvl="1" indent="0" algn="l">
            <a:lnSpc>
              <a:spcPct val="100000"/>
            </a:lnSpc>
            <a:spcAft>
              <a:spcPts val="400"/>
            </a:spcAft>
            <a:buNone/>
          </a:pP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they primarily seek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relieve </a:t>
          </a:r>
          <a:r>
            <a:rPr lang="en-US" sz="1200" i="0" spc="-10" baseline="0">
              <a:solidFill>
                <a:schemeClr val="dk1"/>
              </a:solidFill>
              <a:latin typeface="Tahoma" panose="020B0604030504040204" pitchFamily="34" charset="0"/>
              <a:ea typeface="Tahoma" panose="020B0604030504040204" pitchFamily="34" charset="0"/>
              <a:cs typeface="Tahoma" panose="020B0604030504040204" pitchFamily="34" charset="0"/>
            </a:rPr>
            <a:t>the</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200" i="0" spc="-10" baseline="0">
              <a:solidFill>
                <a:schemeClr val="dk1"/>
              </a:solidFill>
              <a:latin typeface="Tahoma" panose="020B0604030504040204" pitchFamily="34" charset="0"/>
              <a:ea typeface="Tahoma" panose="020B0604030504040204" pitchFamily="34" charset="0"/>
              <a:cs typeface="Tahoma" panose="020B0604030504040204" pitchFamily="34" charset="0"/>
            </a:rPr>
            <a:t>pain</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of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competing psychosocial priorities. </a:t>
          </a:r>
        </a:p>
        <a:p>
          <a:pPr marL="0" indent="0" algn="l">
            <a:lnSpc>
              <a:spcPct val="100000"/>
            </a:lnSpc>
            <a:buNone/>
          </a:pP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encouraging wisdom of mutual responsibilities, </a:t>
          </a:r>
        </a:p>
        <a:p>
          <a:pPr marL="457200" lvl="1" indent="0" algn="l">
            <a:lnSpc>
              <a:spcPct val="100000"/>
            </a:lnSpc>
            <a:spcAft>
              <a:spcPts val="400"/>
            </a:spcAft>
            <a:buNone/>
          </a:pP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it pits your needs against others. </a:t>
          </a:r>
        </a:p>
        <a:p>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inspiring us to be generous and love one another, </a:t>
          </a:r>
        </a:p>
        <a:p>
          <a:pPr lvl="1">
            <a:spcAft>
              <a:spcPts val="0"/>
            </a:spcAft>
          </a:pPr>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it goads us to demand of others and hate them for not caving, </a:t>
          </a:r>
        </a:p>
        <a:p>
          <a:pPr lvl="1">
            <a:spcAft>
              <a:spcPts val="400"/>
            </a:spcAft>
          </a:pPr>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and now to hate elites for not knowing our specific needs. </a:t>
          </a:r>
        </a:p>
        <a:p>
          <a:pPr marL="0" indent="0" algn="l">
            <a:lnSpc>
              <a:spcPct val="100000"/>
            </a:lnSpc>
            <a:buNone/>
          </a:pPr>
          <a:r>
            <a:rPr lang="en-US" sz="1200" b="0" i="1" baseline="0">
              <a:solidFill>
                <a:schemeClr val="dk1"/>
              </a:solidFill>
              <a:latin typeface="Tahoma" panose="020B0604030504040204" pitchFamily="34" charset="0"/>
              <a:ea typeface="Tahoma" panose="020B0604030504040204" pitchFamily="34" charset="0"/>
              <a:cs typeface="Tahoma" panose="020B0604030504040204" pitchFamily="34" charset="0"/>
            </a:rPr>
            <a:t>Popular generalizing leads us all astray</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So let's </a:t>
          </a:r>
          <a:r>
            <a:rPr lang="en-US" sz="1200" b="1" baseline="0">
              <a:ln>
                <a:solidFill>
                  <a:srgbClr val="C00000"/>
                </a:solidFill>
              </a:ln>
              <a:solidFill>
                <a:srgbClr val="FFCCCC"/>
              </a:solidFill>
              <a:effectLst>
                <a:glow rad="25400">
                  <a:srgbClr val="FF7171"/>
                </a:glow>
              </a:effectLst>
              <a:latin typeface="Tahoma" panose="020B0604030504040204" pitchFamily="34" charset="0"/>
              <a:ea typeface="Tahoma" panose="020B0604030504040204" pitchFamily="34" charset="0"/>
              <a:cs typeface="Tahoma" panose="020B0604030504040204" pitchFamily="34" charset="0"/>
            </a:rPr>
            <a:t>STOP</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all this hating!</a:t>
          </a:r>
        </a:p>
      </xdr:txBody>
    </xdr:sp>
    <xdr:clientData/>
  </xdr:twoCellAnchor>
  <xdr:twoCellAnchor>
    <xdr:from>
      <xdr:col>0</xdr:col>
      <xdr:colOff>106680</xdr:colOff>
      <xdr:row>975</xdr:row>
      <xdr:rowOff>167640</xdr:rowOff>
    </xdr:from>
    <xdr:to>
      <xdr:col>12</xdr:col>
      <xdr:colOff>480060</xdr:colOff>
      <xdr:row>976</xdr:row>
      <xdr:rowOff>175260</xdr:rowOff>
    </xdr:to>
    <xdr:sp macro="" textlink="">
      <xdr:nvSpPr>
        <xdr:cNvPr id="2589" name="TextBox 2588">
          <a:extLst>
            <a:ext uri="{FF2B5EF4-FFF2-40B4-BE49-F238E27FC236}">
              <a16:creationId xmlns:a16="http://schemas.microsoft.com/office/drawing/2014/main" id="{00000000-0008-0000-0200-00001D0A0000}"/>
            </a:ext>
          </a:extLst>
        </xdr:cNvPr>
        <xdr:cNvSpPr txBox="1"/>
      </xdr:nvSpPr>
      <xdr:spPr>
        <a:xfrm>
          <a:off x="106680" y="180609240"/>
          <a:ext cx="594360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0" baseline="0">
              <a:ln>
                <a:solidFill>
                  <a:schemeClr val="tx1"/>
                </a:solidFill>
              </a:ln>
              <a:latin typeface="Tahoma" panose="020B0604030504040204" pitchFamily="34" charset="0"/>
              <a:ea typeface="Tahoma" panose="020B0604030504040204" pitchFamily="34" charset="0"/>
              <a:cs typeface="Tahoma" panose="020B0604030504040204" pitchFamily="34" charset="0"/>
            </a:rPr>
            <a:t>Harmony Politics </a:t>
          </a:r>
          <a:r>
            <a:rPr lang="en-US" sz="1200" b="0" baseline="0">
              <a:latin typeface="Tahoma" panose="020B0604030504040204" pitchFamily="34" charset="0"/>
              <a:ea typeface="Tahoma" panose="020B0604030504040204" pitchFamily="34" charset="0"/>
              <a:cs typeface="Tahoma" panose="020B0604030504040204" pitchFamily="34" charset="0"/>
            </a:rPr>
            <a:t>is not for everyone. It </a:t>
          </a:r>
          <a:r>
            <a:rPr lang="en-US" sz="1200" baseline="0">
              <a:latin typeface="Tahoma" panose="020B0604030504040204" pitchFamily="34" charset="0"/>
              <a:ea typeface="Tahoma" panose="020B0604030504040204" pitchFamily="34" charset="0"/>
              <a:cs typeface="Tahoma" panose="020B0604030504040204" pitchFamily="34" charset="0"/>
            </a:rPr>
            <a:t>upends the status quo you may depend upon.</a:t>
          </a:r>
        </a:p>
      </xdr:txBody>
    </xdr:sp>
    <xdr:clientData/>
  </xdr:twoCellAnchor>
  <xdr:twoCellAnchor>
    <xdr:from>
      <xdr:col>0</xdr:col>
      <xdr:colOff>114300</xdr:colOff>
      <xdr:row>977</xdr:row>
      <xdr:rowOff>38100</xdr:rowOff>
    </xdr:from>
    <xdr:to>
      <xdr:col>5</xdr:col>
      <xdr:colOff>457200</xdr:colOff>
      <xdr:row>978</xdr:row>
      <xdr:rowOff>243840</xdr:rowOff>
    </xdr:to>
    <xdr:sp macro="" textlink="">
      <xdr:nvSpPr>
        <xdr:cNvPr id="2592" name="TextBox 2591">
          <a:extLst>
            <a:ext uri="{FF2B5EF4-FFF2-40B4-BE49-F238E27FC236}">
              <a16:creationId xmlns:a16="http://schemas.microsoft.com/office/drawing/2014/main" id="{00000000-0008-0000-0200-0000200A0000}"/>
            </a:ext>
          </a:extLst>
        </xdr:cNvPr>
        <xdr:cNvSpPr txBox="1"/>
      </xdr:nvSpPr>
      <xdr:spPr>
        <a:xfrm>
          <a:off x="114300" y="180982620"/>
          <a:ext cx="244602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r>
            <a:rPr lang="en-US" sz="1100" baseline="0">
              <a:latin typeface="Tahoma" panose="020B0604030504040204" pitchFamily="34" charset="0"/>
              <a:ea typeface="Tahoma" panose="020B0604030504040204" pitchFamily="34" charset="0"/>
              <a:cs typeface="Tahoma" panose="020B0604030504040204" pitchFamily="34" charset="0"/>
            </a:rPr>
            <a:t>Select how ready, willing and able you are to try this radically different path.</a:t>
          </a:r>
        </a:p>
      </xdr:txBody>
    </xdr:sp>
    <xdr:clientData/>
  </xdr:twoCellAnchor>
  <xdr:twoCellAnchor>
    <xdr:from>
      <xdr:col>1</xdr:col>
      <xdr:colOff>0</xdr:colOff>
      <xdr:row>1044</xdr:row>
      <xdr:rowOff>91440</xdr:rowOff>
    </xdr:from>
    <xdr:to>
      <xdr:col>13</xdr:col>
      <xdr:colOff>0</xdr:colOff>
      <xdr:row>1045</xdr:row>
      <xdr:rowOff>175260</xdr:rowOff>
    </xdr:to>
    <xdr:sp macro="" textlink="">
      <xdr:nvSpPr>
        <xdr:cNvPr id="2594" name="TextBox 2593">
          <a:extLst>
            <a:ext uri="{FF2B5EF4-FFF2-40B4-BE49-F238E27FC236}">
              <a16:creationId xmlns:a16="http://schemas.microsoft.com/office/drawing/2014/main" id="{00000000-0008-0000-0200-0000220A0000}"/>
            </a:ext>
          </a:extLst>
        </xdr:cNvPr>
        <xdr:cNvSpPr txBox="1"/>
      </xdr:nvSpPr>
      <xdr:spPr>
        <a:xfrm>
          <a:off x="121920" y="195201540"/>
          <a:ext cx="594360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0" spc="-20" baseline="0">
              <a:latin typeface="Tahoma" panose="020B0604030504040204" pitchFamily="34" charset="0"/>
              <a:ea typeface="Tahoma" panose="020B0604030504040204" pitchFamily="34" charset="0"/>
              <a:cs typeface="Tahoma" panose="020B0604030504040204" pitchFamily="34" charset="0"/>
            </a:rPr>
            <a:t>Select one of the eight political issues from this dropdown list. Then read its content below.</a:t>
          </a:r>
          <a:endParaRPr lang="en-US" sz="1200" spc="-2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0</xdr:colOff>
      <xdr:row>970</xdr:row>
      <xdr:rowOff>60960</xdr:rowOff>
    </xdr:from>
    <xdr:to>
      <xdr:col>6</xdr:col>
      <xdr:colOff>358140</xdr:colOff>
      <xdr:row>974</xdr:row>
      <xdr:rowOff>198120</xdr:rowOff>
    </xdr:to>
    <xdr:sp macro="" textlink="">
      <xdr:nvSpPr>
        <xdr:cNvPr id="2608" name="TextBox 2607">
          <a:extLst>
            <a:ext uri="{FF2B5EF4-FFF2-40B4-BE49-F238E27FC236}">
              <a16:creationId xmlns:a16="http://schemas.microsoft.com/office/drawing/2014/main" id="{00000000-0008-0000-0200-0000300A0000}"/>
            </a:ext>
          </a:extLst>
        </xdr:cNvPr>
        <xdr:cNvSpPr txBox="1"/>
      </xdr:nvSpPr>
      <xdr:spPr>
        <a:xfrm>
          <a:off x="121920" y="179245260"/>
          <a:ext cx="2834640" cy="1143000"/>
        </a:xfrm>
        <a:prstGeom prst="rect">
          <a:avLst/>
        </a:prstGeom>
        <a:solidFill>
          <a:srgbClr val="E1C8FF"/>
        </a:solidFill>
        <a:ln w="38100" cmpd="sng">
          <a:solidFill>
            <a:schemeClr val="bg1"/>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0" tIns="0" rIns="91440" bIns="0" rtlCol="0" anchor="t"/>
        <a:lstStyle/>
        <a:p>
          <a:pPr algn="r">
            <a:spcAft>
              <a:spcPts val="400"/>
            </a:spcAft>
          </a:pPr>
          <a:r>
            <a:rPr lang="en-US" sz="2000" b="1" baseline="0">
              <a:solidFill>
                <a:srgbClr val="660066"/>
              </a:solidFill>
              <a:effectLst>
                <a:outerShdw blurRad="50800" dist="38100" dir="2700000" algn="tl"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Divisive politics</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Argues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defensively to avoid pain</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Rejects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expressed differences </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Demands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consensus agreement </a:t>
          </a:r>
          <a:endParaRPr lang="en-US" sz="1200" baseline="0">
            <a:solidFill>
              <a:srgbClr val="3C1E5A"/>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99060</xdr:colOff>
      <xdr:row>970</xdr:row>
      <xdr:rowOff>68580</xdr:rowOff>
    </xdr:from>
    <xdr:to>
      <xdr:col>12</xdr:col>
      <xdr:colOff>457200</xdr:colOff>
      <xdr:row>974</xdr:row>
      <xdr:rowOff>205740</xdr:rowOff>
    </xdr:to>
    <xdr:sp macro="" textlink="">
      <xdr:nvSpPr>
        <xdr:cNvPr id="2609" name="TextBox 2608">
          <a:extLst>
            <a:ext uri="{FF2B5EF4-FFF2-40B4-BE49-F238E27FC236}">
              <a16:creationId xmlns:a16="http://schemas.microsoft.com/office/drawing/2014/main" id="{00000000-0008-0000-0200-0000310A0000}"/>
            </a:ext>
          </a:extLst>
        </xdr:cNvPr>
        <xdr:cNvSpPr txBox="1"/>
      </xdr:nvSpPr>
      <xdr:spPr>
        <a:xfrm>
          <a:off x="3192780" y="179252880"/>
          <a:ext cx="2834640" cy="1143000"/>
        </a:xfrm>
        <a:prstGeom prst="rect">
          <a:avLst/>
        </a:prstGeom>
        <a:solidFill>
          <a:srgbClr val="A0FFCD"/>
        </a:solidFill>
        <a:ln w="38100" cmpd="sng">
          <a:solidFill>
            <a:schemeClr val="bg1"/>
          </a:solidFill>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91440" tIns="0" rIns="0" bIns="0" rtlCol="0" anchor="t"/>
        <a:lstStyle/>
        <a:p>
          <a:pPr>
            <a:spcAft>
              <a:spcPts val="400"/>
            </a:spcAft>
          </a:pPr>
          <a:r>
            <a:rPr lang="en-US" sz="2000" b="1" baseline="0">
              <a:solidFill>
                <a:srgbClr val="009641"/>
              </a:solidFill>
              <a:effectLst>
                <a:outerShdw blurRad="50800" dist="38100" dir="8100000" algn="tr"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Harmony Politics</a:t>
          </a:r>
          <a:endParaRPr lang="en-US" sz="1600" b="1" baseline="0">
            <a:solidFill>
              <a:srgbClr val="009641"/>
            </a:solidFill>
            <a:effectLst>
              <a:outerShdw blurRad="50800" dist="38100" dir="8100000" algn="tr"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endParaRP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Listens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for needs to remove pain</a:t>
          </a: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Affirms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different need priorities</a:t>
          </a: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Offers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empathy &amp; understanding</a:t>
          </a:r>
        </a:p>
      </xdr:txBody>
    </xdr:sp>
    <xdr:clientData/>
  </xdr:twoCellAnchor>
  <xdr:twoCellAnchor>
    <xdr:from>
      <xdr:col>1</xdr:col>
      <xdr:colOff>7620</xdr:colOff>
      <xdr:row>358</xdr:row>
      <xdr:rowOff>7620</xdr:rowOff>
    </xdr:from>
    <xdr:to>
      <xdr:col>13</xdr:col>
      <xdr:colOff>7620</xdr:colOff>
      <xdr:row>360</xdr:row>
      <xdr:rowOff>129540</xdr:rowOff>
    </xdr:to>
    <xdr:sp macro="" textlink="">
      <xdr:nvSpPr>
        <xdr:cNvPr id="2624" name="You believe whatever serves your needs.">
          <a:extLst>
            <a:ext uri="{FF2B5EF4-FFF2-40B4-BE49-F238E27FC236}">
              <a16:creationId xmlns:a16="http://schemas.microsoft.com/office/drawing/2014/main" id="{00000000-0008-0000-0200-0000400A0000}"/>
            </a:ext>
          </a:extLst>
        </xdr:cNvPr>
        <xdr:cNvSpPr txBox="1">
          <a:spLocks/>
        </xdr:cNvSpPr>
      </xdr:nvSpPr>
      <xdr:spPr>
        <a:xfrm>
          <a:off x="129540" y="66446400"/>
          <a:ext cx="5943600" cy="47244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2000"/>
            </a:lnSpc>
            <a:buNone/>
          </a:pPr>
          <a:r>
            <a:rPr lang="en-US" sz="1600" b="1" spc="-1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If you can't change your prioritized needs for</a:t>
          </a:r>
          <a:r>
            <a:rPr lang="en-US" sz="1600" b="1" spc="-1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 them,</a:t>
          </a:r>
          <a:r>
            <a:rPr lang="en-US" sz="1600" b="1" spc="-3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 </a:t>
          </a:r>
          <a:r>
            <a:rPr lang="en-US" sz="1600" b="1" spc="-5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why must they change their prioritized needs for you?</a:t>
          </a:r>
          <a:endParaRPr lang="en-US" sz="1600" spc="-5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14</xdr:col>
      <xdr:colOff>91440</xdr:colOff>
      <xdr:row>61</xdr:row>
      <xdr:rowOff>186690</xdr:rowOff>
    </xdr:from>
    <xdr:to>
      <xdr:col>15</xdr:col>
      <xdr:colOff>320040</xdr:colOff>
      <xdr:row>64</xdr:row>
      <xdr:rowOff>5746</xdr:rowOff>
    </xdr:to>
    <xdr:grpSp>
      <xdr:nvGrpSpPr>
        <xdr:cNvPr id="2841" name="Group 2840">
          <a:extLst>
            <a:ext uri="{FF2B5EF4-FFF2-40B4-BE49-F238E27FC236}">
              <a16:creationId xmlns:a16="http://schemas.microsoft.com/office/drawing/2014/main" id="{00000000-0008-0000-0200-0000190B0000}"/>
            </a:ext>
          </a:extLst>
        </xdr:cNvPr>
        <xdr:cNvGrpSpPr/>
      </xdr:nvGrpSpPr>
      <xdr:grpSpPr>
        <a:xfrm>
          <a:off x="6355080" y="12698730"/>
          <a:ext cx="342900" cy="390556"/>
          <a:chOff x="6393180" y="135504780"/>
          <a:chExt cx="350520" cy="390556"/>
        </a:xfrm>
      </xdr:grpSpPr>
      <xdr:sp macro="" textlink="">
        <xdr:nvSpPr>
          <xdr:cNvPr id="2842" name="Rectangle: Rounded Corners 2841">
            <a:extLst>
              <a:ext uri="{FF2B5EF4-FFF2-40B4-BE49-F238E27FC236}">
                <a16:creationId xmlns:a16="http://schemas.microsoft.com/office/drawing/2014/main" id="{00000000-0008-0000-0200-00001A0B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843" name="Rectangle 2842">
            <a:extLst>
              <a:ext uri="{FF2B5EF4-FFF2-40B4-BE49-F238E27FC236}">
                <a16:creationId xmlns:a16="http://schemas.microsoft.com/office/drawing/2014/main" id="{00000000-0008-0000-0200-00001B0B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7</xdr:row>
      <xdr:rowOff>9899</xdr:rowOff>
    </xdr:from>
    <xdr:to>
      <xdr:col>12</xdr:col>
      <xdr:colOff>164522</xdr:colOff>
      <xdr:row>7</xdr:row>
      <xdr:rowOff>172636</xdr:rowOff>
    </xdr:to>
    <xdr:grpSp>
      <xdr:nvGrpSpPr>
        <xdr:cNvPr id="2889" name="Group 2888">
          <a:extLst>
            <a:ext uri="{FF2B5EF4-FFF2-40B4-BE49-F238E27FC236}">
              <a16:creationId xmlns:a16="http://schemas.microsoft.com/office/drawing/2014/main" id="{00000000-0008-0000-0200-0000490B0000}"/>
            </a:ext>
          </a:extLst>
        </xdr:cNvPr>
        <xdr:cNvGrpSpPr/>
      </xdr:nvGrpSpPr>
      <xdr:grpSpPr>
        <a:xfrm>
          <a:off x="5693538" y="1922519"/>
          <a:ext cx="117404" cy="162737"/>
          <a:chOff x="6496416" y="135471422"/>
          <a:chExt cx="117279" cy="159032"/>
        </a:xfrm>
      </xdr:grpSpPr>
      <xdr:sp macro="" textlink="">
        <xdr:nvSpPr>
          <xdr:cNvPr id="2890" name="Rectangle: Rounded Corners 2889">
            <a:extLst>
              <a:ext uri="{FF2B5EF4-FFF2-40B4-BE49-F238E27FC236}">
                <a16:creationId xmlns:a16="http://schemas.microsoft.com/office/drawing/2014/main" id="{00000000-0008-0000-0200-00004A0B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891" name="Rectangle 2890">
            <a:extLst>
              <a:ext uri="{FF2B5EF4-FFF2-40B4-BE49-F238E27FC236}">
                <a16:creationId xmlns:a16="http://schemas.microsoft.com/office/drawing/2014/main" id="{00000000-0008-0000-0200-00004B0B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253380</xdr:colOff>
      <xdr:row>896</xdr:row>
      <xdr:rowOff>167640</xdr:rowOff>
    </xdr:from>
    <xdr:to>
      <xdr:col>12</xdr:col>
      <xdr:colOff>291480</xdr:colOff>
      <xdr:row>900</xdr:row>
      <xdr:rowOff>106680</xdr:rowOff>
    </xdr:to>
    <xdr:sp macro="" textlink="">
      <xdr:nvSpPr>
        <xdr:cNvPr id="1851" name="TextBox 1850">
          <a:extLst>
            <a:ext uri="{FF2B5EF4-FFF2-40B4-BE49-F238E27FC236}">
              <a16:creationId xmlns:a16="http://schemas.microsoft.com/office/drawing/2014/main" id="{00000000-0008-0000-0200-00003B070000}"/>
            </a:ext>
          </a:extLst>
        </xdr:cNvPr>
        <xdr:cNvSpPr txBox="1"/>
      </xdr:nvSpPr>
      <xdr:spPr>
        <a:xfrm>
          <a:off x="375300" y="174124620"/>
          <a:ext cx="548640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800" b="1" baseline="0">
              <a:solidFill>
                <a:srgbClr val="EBDCFF"/>
              </a:solidFill>
              <a:latin typeface="Tahoma" panose="020B0604030504040204" pitchFamily="34" charset="0"/>
              <a:ea typeface="Tahoma" panose="020B0604030504040204" pitchFamily="34" charset="0"/>
              <a:cs typeface="Tahoma" panose="020B0604030504040204" pitchFamily="34" charset="0"/>
            </a:rPr>
            <a:t>Responsibility is response-ability, </a:t>
          </a:r>
        </a:p>
        <a:p>
          <a:pPr algn="ctr"/>
          <a:r>
            <a:rPr lang="en-US" sz="1600" b="1" spc="-40" baseline="0">
              <a:solidFill>
                <a:srgbClr val="EBDCFF"/>
              </a:solidFill>
              <a:latin typeface="Tahoma" panose="020B0604030504040204" pitchFamily="34" charset="0"/>
              <a:ea typeface="Tahoma" panose="020B0604030504040204" pitchFamily="34" charset="0"/>
              <a:cs typeface="Tahoma" panose="020B0604030504040204" pitchFamily="34" charset="0"/>
            </a:rPr>
            <a:t>the ability to respond to specific needs.</a:t>
          </a:r>
        </a:p>
      </xdr:txBody>
    </xdr:sp>
    <xdr:clientData/>
  </xdr:twoCellAnchor>
  <xdr:twoCellAnchor>
    <xdr:from>
      <xdr:col>14</xdr:col>
      <xdr:colOff>91440</xdr:colOff>
      <xdr:row>128</xdr:row>
      <xdr:rowOff>57150</xdr:rowOff>
    </xdr:from>
    <xdr:to>
      <xdr:col>15</xdr:col>
      <xdr:colOff>320040</xdr:colOff>
      <xdr:row>129</xdr:row>
      <xdr:rowOff>196246</xdr:rowOff>
    </xdr:to>
    <xdr:grpSp>
      <xdr:nvGrpSpPr>
        <xdr:cNvPr id="1860" name="Group 1859">
          <a:extLst>
            <a:ext uri="{FF2B5EF4-FFF2-40B4-BE49-F238E27FC236}">
              <a16:creationId xmlns:a16="http://schemas.microsoft.com/office/drawing/2014/main" id="{00000000-0008-0000-0200-000044070000}"/>
            </a:ext>
          </a:extLst>
        </xdr:cNvPr>
        <xdr:cNvGrpSpPr/>
      </xdr:nvGrpSpPr>
      <xdr:grpSpPr>
        <a:xfrm>
          <a:off x="6355080" y="27595830"/>
          <a:ext cx="342900" cy="390556"/>
          <a:chOff x="6393180" y="135504780"/>
          <a:chExt cx="350520" cy="390556"/>
        </a:xfrm>
      </xdr:grpSpPr>
      <xdr:sp macro="" textlink="">
        <xdr:nvSpPr>
          <xdr:cNvPr id="1861" name="Rectangle: Rounded Corners 1860">
            <a:extLst>
              <a:ext uri="{FF2B5EF4-FFF2-40B4-BE49-F238E27FC236}">
                <a16:creationId xmlns:a16="http://schemas.microsoft.com/office/drawing/2014/main" id="{00000000-0008-0000-0200-000045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2" name="Rectangle 1861">
            <a:extLst>
              <a:ext uri="{FF2B5EF4-FFF2-40B4-BE49-F238E27FC236}">
                <a16:creationId xmlns:a16="http://schemas.microsoft.com/office/drawing/2014/main" id="{00000000-0008-0000-0200-000046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172</xdr:row>
      <xdr:rowOff>26670</xdr:rowOff>
    </xdr:from>
    <xdr:to>
      <xdr:col>15</xdr:col>
      <xdr:colOff>320040</xdr:colOff>
      <xdr:row>172</xdr:row>
      <xdr:rowOff>417226</xdr:rowOff>
    </xdr:to>
    <xdr:grpSp>
      <xdr:nvGrpSpPr>
        <xdr:cNvPr id="1863" name="Group 1862">
          <a:extLst>
            <a:ext uri="{FF2B5EF4-FFF2-40B4-BE49-F238E27FC236}">
              <a16:creationId xmlns:a16="http://schemas.microsoft.com/office/drawing/2014/main" id="{00000000-0008-0000-0200-000047070000}"/>
            </a:ext>
          </a:extLst>
        </xdr:cNvPr>
        <xdr:cNvGrpSpPr/>
      </xdr:nvGrpSpPr>
      <xdr:grpSpPr>
        <a:xfrm>
          <a:off x="6355080" y="37478970"/>
          <a:ext cx="342900" cy="390556"/>
          <a:chOff x="6393180" y="135504780"/>
          <a:chExt cx="350520" cy="390556"/>
        </a:xfrm>
      </xdr:grpSpPr>
      <xdr:sp macro="" textlink="">
        <xdr:nvSpPr>
          <xdr:cNvPr id="1864" name="Rectangle: Rounded Corners 1863">
            <a:extLst>
              <a:ext uri="{FF2B5EF4-FFF2-40B4-BE49-F238E27FC236}">
                <a16:creationId xmlns:a16="http://schemas.microsoft.com/office/drawing/2014/main" id="{00000000-0008-0000-0200-000048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5" name="Rectangle 1864">
            <a:extLst>
              <a:ext uri="{FF2B5EF4-FFF2-40B4-BE49-F238E27FC236}">
                <a16:creationId xmlns:a16="http://schemas.microsoft.com/office/drawing/2014/main" id="{00000000-0008-0000-0200-000049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201</xdr:row>
      <xdr:rowOff>26670</xdr:rowOff>
    </xdr:from>
    <xdr:to>
      <xdr:col>15</xdr:col>
      <xdr:colOff>320040</xdr:colOff>
      <xdr:row>202</xdr:row>
      <xdr:rowOff>165766</xdr:rowOff>
    </xdr:to>
    <xdr:grpSp>
      <xdr:nvGrpSpPr>
        <xdr:cNvPr id="1866" name="Group 1865">
          <a:extLst>
            <a:ext uri="{FF2B5EF4-FFF2-40B4-BE49-F238E27FC236}">
              <a16:creationId xmlns:a16="http://schemas.microsoft.com/office/drawing/2014/main" id="{00000000-0008-0000-0200-00004A070000}"/>
            </a:ext>
          </a:extLst>
        </xdr:cNvPr>
        <xdr:cNvGrpSpPr/>
      </xdr:nvGrpSpPr>
      <xdr:grpSpPr>
        <a:xfrm>
          <a:off x="6355080" y="43392090"/>
          <a:ext cx="342900" cy="390556"/>
          <a:chOff x="6393180" y="135504780"/>
          <a:chExt cx="350520" cy="390556"/>
        </a:xfrm>
      </xdr:grpSpPr>
      <xdr:sp macro="" textlink="">
        <xdr:nvSpPr>
          <xdr:cNvPr id="1867" name="Rectangle: Rounded Corners 1866">
            <a:extLst>
              <a:ext uri="{FF2B5EF4-FFF2-40B4-BE49-F238E27FC236}">
                <a16:creationId xmlns:a16="http://schemas.microsoft.com/office/drawing/2014/main" id="{00000000-0008-0000-0200-00004B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8" name="Rectangle 1867">
            <a:extLst>
              <a:ext uri="{FF2B5EF4-FFF2-40B4-BE49-F238E27FC236}">
                <a16:creationId xmlns:a16="http://schemas.microsoft.com/office/drawing/2014/main" id="{00000000-0008-0000-0200-00004C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242</xdr:row>
      <xdr:rowOff>224790</xdr:rowOff>
    </xdr:from>
    <xdr:to>
      <xdr:col>15</xdr:col>
      <xdr:colOff>320040</xdr:colOff>
      <xdr:row>244</xdr:row>
      <xdr:rowOff>112426</xdr:rowOff>
    </xdr:to>
    <xdr:grpSp>
      <xdr:nvGrpSpPr>
        <xdr:cNvPr id="1869" name="Group 1868">
          <a:extLst>
            <a:ext uri="{FF2B5EF4-FFF2-40B4-BE49-F238E27FC236}">
              <a16:creationId xmlns:a16="http://schemas.microsoft.com/office/drawing/2014/main" id="{00000000-0008-0000-0200-00004D070000}"/>
            </a:ext>
          </a:extLst>
        </xdr:cNvPr>
        <xdr:cNvGrpSpPr/>
      </xdr:nvGrpSpPr>
      <xdr:grpSpPr>
        <a:xfrm>
          <a:off x="6355080" y="52619910"/>
          <a:ext cx="342900" cy="390556"/>
          <a:chOff x="6393180" y="135504780"/>
          <a:chExt cx="350520" cy="390556"/>
        </a:xfrm>
      </xdr:grpSpPr>
      <xdr:sp macro="" textlink="">
        <xdr:nvSpPr>
          <xdr:cNvPr id="1870" name="Rectangle: Rounded Corners 1869">
            <a:extLst>
              <a:ext uri="{FF2B5EF4-FFF2-40B4-BE49-F238E27FC236}">
                <a16:creationId xmlns:a16="http://schemas.microsoft.com/office/drawing/2014/main" id="{00000000-0008-0000-0200-00004E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1" name="Rectangle 1870">
            <a:extLst>
              <a:ext uri="{FF2B5EF4-FFF2-40B4-BE49-F238E27FC236}">
                <a16:creationId xmlns:a16="http://schemas.microsoft.com/office/drawing/2014/main" id="{00000000-0008-0000-0200-00004F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610</xdr:row>
      <xdr:rowOff>217170</xdr:rowOff>
    </xdr:from>
    <xdr:to>
      <xdr:col>15</xdr:col>
      <xdr:colOff>320040</xdr:colOff>
      <xdr:row>613</xdr:row>
      <xdr:rowOff>13366</xdr:rowOff>
    </xdr:to>
    <xdr:grpSp>
      <xdr:nvGrpSpPr>
        <xdr:cNvPr id="1872" name="Group 1871">
          <a:extLst>
            <a:ext uri="{FF2B5EF4-FFF2-40B4-BE49-F238E27FC236}">
              <a16:creationId xmlns:a16="http://schemas.microsoft.com/office/drawing/2014/main" id="{00000000-0008-0000-0200-000050070000}"/>
            </a:ext>
          </a:extLst>
        </xdr:cNvPr>
        <xdr:cNvGrpSpPr/>
      </xdr:nvGrpSpPr>
      <xdr:grpSpPr>
        <a:xfrm>
          <a:off x="6355080" y="120895110"/>
          <a:ext cx="342900" cy="390556"/>
          <a:chOff x="6393180" y="135504780"/>
          <a:chExt cx="350520" cy="390556"/>
        </a:xfrm>
      </xdr:grpSpPr>
      <xdr:sp macro="" textlink="">
        <xdr:nvSpPr>
          <xdr:cNvPr id="1873" name="Rectangle: Rounded Corners 1872">
            <a:extLst>
              <a:ext uri="{FF2B5EF4-FFF2-40B4-BE49-F238E27FC236}">
                <a16:creationId xmlns:a16="http://schemas.microsoft.com/office/drawing/2014/main" id="{00000000-0008-0000-0200-000051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4" name="Rectangle 1873">
            <a:extLst>
              <a:ext uri="{FF2B5EF4-FFF2-40B4-BE49-F238E27FC236}">
                <a16:creationId xmlns:a16="http://schemas.microsoft.com/office/drawing/2014/main" id="{00000000-0008-0000-0200-000052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757</xdr:row>
      <xdr:rowOff>179070</xdr:rowOff>
    </xdr:from>
    <xdr:to>
      <xdr:col>15</xdr:col>
      <xdr:colOff>320040</xdr:colOff>
      <xdr:row>759</xdr:row>
      <xdr:rowOff>66706</xdr:rowOff>
    </xdr:to>
    <xdr:grpSp>
      <xdr:nvGrpSpPr>
        <xdr:cNvPr id="1875" name="Group 1874">
          <a:extLst>
            <a:ext uri="{FF2B5EF4-FFF2-40B4-BE49-F238E27FC236}">
              <a16:creationId xmlns:a16="http://schemas.microsoft.com/office/drawing/2014/main" id="{00000000-0008-0000-0200-000053070000}"/>
            </a:ext>
          </a:extLst>
        </xdr:cNvPr>
        <xdr:cNvGrpSpPr/>
      </xdr:nvGrpSpPr>
      <xdr:grpSpPr>
        <a:xfrm>
          <a:off x="6355080" y="148250910"/>
          <a:ext cx="342900" cy="390556"/>
          <a:chOff x="6393180" y="135504780"/>
          <a:chExt cx="350520" cy="390556"/>
        </a:xfrm>
      </xdr:grpSpPr>
      <xdr:sp macro="" textlink="">
        <xdr:nvSpPr>
          <xdr:cNvPr id="1876" name="Rectangle: Rounded Corners 1875">
            <a:extLst>
              <a:ext uri="{FF2B5EF4-FFF2-40B4-BE49-F238E27FC236}">
                <a16:creationId xmlns:a16="http://schemas.microsoft.com/office/drawing/2014/main" id="{00000000-0008-0000-0200-000054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7" name="Rectangle 1876">
            <a:extLst>
              <a:ext uri="{FF2B5EF4-FFF2-40B4-BE49-F238E27FC236}">
                <a16:creationId xmlns:a16="http://schemas.microsoft.com/office/drawing/2014/main" id="{00000000-0008-0000-0200-000055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976</xdr:row>
      <xdr:rowOff>247650</xdr:rowOff>
    </xdr:from>
    <xdr:to>
      <xdr:col>15</xdr:col>
      <xdr:colOff>320040</xdr:colOff>
      <xdr:row>978</xdr:row>
      <xdr:rowOff>135286</xdr:rowOff>
    </xdr:to>
    <xdr:grpSp>
      <xdr:nvGrpSpPr>
        <xdr:cNvPr id="1878" name="Group 1877">
          <a:extLst>
            <a:ext uri="{FF2B5EF4-FFF2-40B4-BE49-F238E27FC236}">
              <a16:creationId xmlns:a16="http://schemas.microsoft.com/office/drawing/2014/main" id="{00000000-0008-0000-0200-000056070000}"/>
            </a:ext>
          </a:extLst>
        </xdr:cNvPr>
        <xdr:cNvGrpSpPr/>
      </xdr:nvGrpSpPr>
      <xdr:grpSpPr>
        <a:xfrm>
          <a:off x="6355080" y="189635130"/>
          <a:ext cx="342900" cy="390556"/>
          <a:chOff x="6393180" y="135504780"/>
          <a:chExt cx="350520" cy="390556"/>
        </a:xfrm>
      </xdr:grpSpPr>
      <xdr:sp macro="" textlink="">
        <xdr:nvSpPr>
          <xdr:cNvPr id="1879" name="Rectangle: Rounded Corners 1878">
            <a:extLst>
              <a:ext uri="{FF2B5EF4-FFF2-40B4-BE49-F238E27FC236}">
                <a16:creationId xmlns:a16="http://schemas.microsoft.com/office/drawing/2014/main" id="{00000000-0008-0000-0200-000057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0" name="Rectangle 1879">
            <a:extLst>
              <a:ext uri="{FF2B5EF4-FFF2-40B4-BE49-F238E27FC236}">
                <a16:creationId xmlns:a16="http://schemas.microsoft.com/office/drawing/2014/main" id="{00000000-0008-0000-0200-000058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1045</xdr:row>
      <xdr:rowOff>148590</xdr:rowOff>
    </xdr:from>
    <xdr:to>
      <xdr:col>15</xdr:col>
      <xdr:colOff>320040</xdr:colOff>
      <xdr:row>1046</xdr:row>
      <xdr:rowOff>356266</xdr:rowOff>
    </xdr:to>
    <xdr:grpSp>
      <xdr:nvGrpSpPr>
        <xdr:cNvPr id="1881" name="Group 1880">
          <a:extLst>
            <a:ext uri="{FF2B5EF4-FFF2-40B4-BE49-F238E27FC236}">
              <a16:creationId xmlns:a16="http://schemas.microsoft.com/office/drawing/2014/main" id="{00000000-0008-0000-0200-000059070000}"/>
            </a:ext>
          </a:extLst>
        </xdr:cNvPr>
        <xdr:cNvGrpSpPr/>
      </xdr:nvGrpSpPr>
      <xdr:grpSpPr>
        <a:xfrm>
          <a:off x="6355080" y="204250290"/>
          <a:ext cx="342900" cy="390556"/>
          <a:chOff x="6393180" y="135504780"/>
          <a:chExt cx="350520" cy="390556"/>
        </a:xfrm>
      </xdr:grpSpPr>
      <xdr:sp macro="" textlink="">
        <xdr:nvSpPr>
          <xdr:cNvPr id="1882" name="Rectangle: Rounded Corners 1881">
            <a:extLst>
              <a:ext uri="{FF2B5EF4-FFF2-40B4-BE49-F238E27FC236}">
                <a16:creationId xmlns:a16="http://schemas.microsoft.com/office/drawing/2014/main" id="{00000000-0008-0000-0200-00005A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3" name="Rectangle 1882">
            <a:extLst>
              <a:ext uri="{FF2B5EF4-FFF2-40B4-BE49-F238E27FC236}">
                <a16:creationId xmlns:a16="http://schemas.microsoft.com/office/drawing/2014/main" id="{00000000-0008-0000-0200-00005B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1137</xdr:row>
      <xdr:rowOff>186690</xdr:rowOff>
    </xdr:from>
    <xdr:to>
      <xdr:col>15</xdr:col>
      <xdr:colOff>320040</xdr:colOff>
      <xdr:row>1139</xdr:row>
      <xdr:rowOff>158146</xdr:rowOff>
    </xdr:to>
    <xdr:grpSp>
      <xdr:nvGrpSpPr>
        <xdr:cNvPr id="1887" name="Group 1886">
          <a:extLst>
            <a:ext uri="{FF2B5EF4-FFF2-40B4-BE49-F238E27FC236}">
              <a16:creationId xmlns:a16="http://schemas.microsoft.com/office/drawing/2014/main" id="{00000000-0008-0000-0200-00005F070000}"/>
            </a:ext>
          </a:extLst>
        </xdr:cNvPr>
        <xdr:cNvGrpSpPr/>
      </xdr:nvGrpSpPr>
      <xdr:grpSpPr>
        <a:xfrm>
          <a:off x="6355080" y="226942650"/>
          <a:ext cx="342900" cy="390556"/>
          <a:chOff x="6393180" y="135504780"/>
          <a:chExt cx="350520" cy="390556"/>
        </a:xfrm>
      </xdr:grpSpPr>
      <xdr:sp macro="" textlink="">
        <xdr:nvSpPr>
          <xdr:cNvPr id="1888" name="Rectangle: Rounded Corners 1887">
            <a:extLst>
              <a:ext uri="{FF2B5EF4-FFF2-40B4-BE49-F238E27FC236}">
                <a16:creationId xmlns:a16="http://schemas.microsoft.com/office/drawing/2014/main" id="{00000000-0008-0000-0200-000060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9" name="Rectangle 1888">
            <a:extLst>
              <a:ext uri="{FF2B5EF4-FFF2-40B4-BE49-F238E27FC236}">
                <a16:creationId xmlns:a16="http://schemas.microsoft.com/office/drawing/2014/main" id="{00000000-0008-0000-0200-000061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1174</xdr:row>
      <xdr:rowOff>171450</xdr:rowOff>
    </xdr:from>
    <xdr:to>
      <xdr:col>15</xdr:col>
      <xdr:colOff>320040</xdr:colOff>
      <xdr:row>1177</xdr:row>
      <xdr:rowOff>20986</xdr:rowOff>
    </xdr:to>
    <xdr:grpSp>
      <xdr:nvGrpSpPr>
        <xdr:cNvPr id="1892" name="Group 1891">
          <a:extLst>
            <a:ext uri="{FF2B5EF4-FFF2-40B4-BE49-F238E27FC236}">
              <a16:creationId xmlns:a16="http://schemas.microsoft.com/office/drawing/2014/main" id="{00000000-0008-0000-0200-000064070000}"/>
            </a:ext>
          </a:extLst>
        </xdr:cNvPr>
        <xdr:cNvGrpSpPr/>
      </xdr:nvGrpSpPr>
      <xdr:grpSpPr>
        <a:xfrm>
          <a:off x="6355080" y="235111290"/>
          <a:ext cx="342900" cy="390556"/>
          <a:chOff x="6393180" y="135504780"/>
          <a:chExt cx="350520" cy="390556"/>
        </a:xfrm>
      </xdr:grpSpPr>
      <xdr:sp macro="" textlink="">
        <xdr:nvSpPr>
          <xdr:cNvPr id="1893" name="Rectangle: Rounded Corners 1892">
            <a:extLst>
              <a:ext uri="{FF2B5EF4-FFF2-40B4-BE49-F238E27FC236}">
                <a16:creationId xmlns:a16="http://schemas.microsoft.com/office/drawing/2014/main" id="{00000000-0008-0000-0200-000065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97" name="Rectangle 1896">
            <a:extLst>
              <a:ext uri="{FF2B5EF4-FFF2-40B4-BE49-F238E27FC236}">
                <a16:creationId xmlns:a16="http://schemas.microsoft.com/office/drawing/2014/main" id="{00000000-0008-0000-0200-000069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1316</xdr:row>
      <xdr:rowOff>3810</xdr:rowOff>
    </xdr:from>
    <xdr:to>
      <xdr:col>15</xdr:col>
      <xdr:colOff>320040</xdr:colOff>
      <xdr:row>1317</xdr:row>
      <xdr:rowOff>181006</xdr:rowOff>
    </xdr:to>
    <xdr:grpSp>
      <xdr:nvGrpSpPr>
        <xdr:cNvPr id="1898" name="Group 1897">
          <a:extLst>
            <a:ext uri="{FF2B5EF4-FFF2-40B4-BE49-F238E27FC236}">
              <a16:creationId xmlns:a16="http://schemas.microsoft.com/office/drawing/2014/main" id="{00000000-0008-0000-0200-00006A070000}"/>
            </a:ext>
          </a:extLst>
        </xdr:cNvPr>
        <xdr:cNvGrpSpPr/>
      </xdr:nvGrpSpPr>
      <xdr:grpSpPr>
        <a:xfrm>
          <a:off x="6355080" y="260600190"/>
          <a:ext cx="342900" cy="390556"/>
          <a:chOff x="6393180" y="135504780"/>
          <a:chExt cx="350520" cy="390556"/>
        </a:xfrm>
      </xdr:grpSpPr>
      <xdr:sp macro="" textlink="">
        <xdr:nvSpPr>
          <xdr:cNvPr id="1899" name="Rectangle: Rounded Corners 1898">
            <a:extLst>
              <a:ext uri="{FF2B5EF4-FFF2-40B4-BE49-F238E27FC236}">
                <a16:creationId xmlns:a16="http://schemas.microsoft.com/office/drawing/2014/main" id="{00000000-0008-0000-0200-00006B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00" name="Rectangle 1899">
            <a:extLst>
              <a:ext uri="{FF2B5EF4-FFF2-40B4-BE49-F238E27FC236}">
                <a16:creationId xmlns:a16="http://schemas.microsoft.com/office/drawing/2014/main" id="{00000000-0008-0000-0200-00006C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1409</xdr:row>
      <xdr:rowOff>110490</xdr:rowOff>
    </xdr:from>
    <xdr:to>
      <xdr:col>15</xdr:col>
      <xdr:colOff>320040</xdr:colOff>
      <xdr:row>1411</xdr:row>
      <xdr:rowOff>165766</xdr:rowOff>
    </xdr:to>
    <xdr:grpSp>
      <xdr:nvGrpSpPr>
        <xdr:cNvPr id="1901" name="Group 1900">
          <a:extLst>
            <a:ext uri="{FF2B5EF4-FFF2-40B4-BE49-F238E27FC236}">
              <a16:creationId xmlns:a16="http://schemas.microsoft.com/office/drawing/2014/main" id="{00000000-0008-0000-0200-00006D070000}"/>
            </a:ext>
          </a:extLst>
        </xdr:cNvPr>
        <xdr:cNvGrpSpPr/>
      </xdr:nvGrpSpPr>
      <xdr:grpSpPr>
        <a:xfrm>
          <a:off x="6355080" y="277577550"/>
          <a:ext cx="342900" cy="398176"/>
          <a:chOff x="6393180" y="135504780"/>
          <a:chExt cx="350520" cy="390556"/>
        </a:xfrm>
      </xdr:grpSpPr>
      <xdr:sp macro="" textlink="">
        <xdr:nvSpPr>
          <xdr:cNvPr id="1902" name="Rectangle: Rounded Corners 1901">
            <a:extLst>
              <a:ext uri="{FF2B5EF4-FFF2-40B4-BE49-F238E27FC236}">
                <a16:creationId xmlns:a16="http://schemas.microsoft.com/office/drawing/2014/main" id="{00000000-0008-0000-0200-00006E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08" name="Rectangle 1907">
            <a:extLst>
              <a:ext uri="{FF2B5EF4-FFF2-40B4-BE49-F238E27FC236}">
                <a16:creationId xmlns:a16="http://schemas.microsoft.com/office/drawing/2014/main" id="{00000000-0008-0000-0200-000074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1501</xdr:row>
      <xdr:rowOff>3810</xdr:rowOff>
    </xdr:from>
    <xdr:to>
      <xdr:col>15</xdr:col>
      <xdr:colOff>320040</xdr:colOff>
      <xdr:row>1502</xdr:row>
      <xdr:rowOff>181006</xdr:rowOff>
    </xdr:to>
    <xdr:grpSp>
      <xdr:nvGrpSpPr>
        <xdr:cNvPr id="1909" name="Group 1908">
          <a:extLst>
            <a:ext uri="{FF2B5EF4-FFF2-40B4-BE49-F238E27FC236}">
              <a16:creationId xmlns:a16="http://schemas.microsoft.com/office/drawing/2014/main" id="{00000000-0008-0000-0200-000075070000}"/>
            </a:ext>
          </a:extLst>
        </xdr:cNvPr>
        <xdr:cNvGrpSpPr/>
      </xdr:nvGrpSpPr>
      <xdr:grpSpPr>
        <a:xfrm>
          <a:off x="6355080" y="294463470"/>
          <a:ext cx="342900" cy="390556"/>
          <a:chOff x="6393180" y="135504780"/>
          <a:chExt cx="350520" cy="390556"/>
        </a:xfrm>
      </xdr:grpSpPr>
      <xdr:sp macro="" textlink="">
        <xdr:nvSpPr>
          <xdr:cNvPr id="1911" name="Rectangle: Rounded Corners 1910">
            <a:extLst>
              <a:ext uri="{FF2B5EF4-FFF2-40B4-BE49-F238E27FC236}">
                <a16:creationId xmlns:a16="http://schemas.microsoft.com/office/drawing/2014/main" id="{00000000-0008-0000-0200-000077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2" name="Rectangle 1911">
            <a:extLst>
              <a:ext uri="{FF2B5EF4-FFF2-40B4-BE49-F238E27FC236}">
                <a16:creationId xmlns:a16="http://schemas.microsoft.com/office/drawing/2014/main" id="{00000000-0008-0000-0200-000078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9</xdr:row>
      <xdr:rowOff>15693</xdr:rowOff>
    </xdr:from>
    <xdr:to>
      <xdr:col>12</xdr:col>
      <xdr:colOff>164522</xdr:colOff>
      <xdr:row>10</xdr:row>
      <xdr:rowOff>4590</xdr:rowOff>
    </xdr:to>
    <xdr:grpSp>
      <xdr:nvGrpSpPr>
        <xdr:cNvPr id="1913" name="Group 1912">
          <a:extLst>
            <a:ext uri="{FF2B5EF4-FFF2-40B4-BE49-F238E27FC236}">
              <a16:creationId xmlns:a16="http://schemas.microsoft.com/office/drawing/2014/main" id="{00000000-0008-0000-0200-000079070000}"/>
            </a:ext>
          </a:extLst>
        </xdr:cNvPr>
        <xdr:cNvGrpSpPr/>
      </xdr:nvGrpSpPr>
      <xdr:grpSpPr>
        <a:xfrm>
          <a:off x="5693538" y="2278833"/>
          <a:ext cx="117404" cy="164157"/>
          <a:chOff x="6496416" y="135471422"/>
          <a:chExt cx="117279" cy="159032"/>
        </a:xfrm>
      </xdr:grpSpPr>
      <xdr:sp macro="" textlink="">
        <xdr:nvSpPr>
          <xdr:cNvPr id="1914" name="Rectangle: Rounded Corners 1913">
            <a:extLst>
              <a:ext uri="{FF2B5EF4-FFF2-40B4-BE49-F238E27FC236}">
                <a16:creationId xmlns:a16="http://schemas.microsoft.com/office/drawing/2014/main" id="{00000000-0008-0000-0200-00007A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5" name="Rectangle 1914">
            <a:extLst>
              <a:ext uri="{FF2B5EF4-FFF2-40B4-BE49-F238E27FC236}">
                <a16:creationId xmlns:a16="http://schemas.microsoft.com/office/drawing/2014/main" id="{00000000-0008-0000-0200-00007B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10</xdr:row>
      <xdr:rowOff>21488</xdr:rowOff>
    </xdr:from>
    <xdr:to>
      <xdr:col>12</xdr:col>
      <xdr:colOff>164522</xdr:colOff>
      <xdr:row>10</xdr:row>
      <xdr:rowOff>184225</xdr:rowOff>
    </xdr:to>
    <xdr:grpSp>
      <xdr:nvGrpSpPr>
        <xdr:cNvPr id="1916" name="Group 1915">
          <a:extLst>
            <a:ext uri="{FF2B5EF4-FFF2-40B4-BE49-F238E27FC236}">
              <a16:creationId xmlns:a16="http://schemas.microsoft.com/office/drawing/2014/main" id="{00000000-0008-0000-0200-00007C070000}"/>
            </a:ext>
          </a:extLst>
        </xdr:cNvPr>
        <xdr:cNvGrpSpPr/>
      </xdr:nvGrpSpPr>
      <xdr:grpSpPr>
        <a:xfrm>
          <a:off x="5693538" y="2459888"/>
          <a:ext cx="117404" cy="162737"/>
          <a:chOff x="6496416" y="135471422"/>
          <a:chExt cx="117279" cy="159032"/>
        </a:xfrm>
      </xdr:grpSpPr>
      <xdr:sp macro="" textlink="">
        <xdr:nvSpPr>
          <xdr:cNvPr id="1917" name="Rectangle: Rounded Corners 1916">
            <a:extLst>
              <a:ext uri="{FF2B5EF4-FFF2-40B4-BE49-F238E27FC236}">
                <a16:creationId xmlns:a16="http://schemas.microsoft.com/office/drawing/2014/main" id="{00000000-0008-0000-0200-00007D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9" name="Rectangle 1918">
            <a:extLst>
              <a:ext uri="{FF2B5EF4-FFF2-40B4-BE49-F238E27FC236}">
                <a16:creationId xmlns:a16="http://schemas.microsoft.com/office/drawing/2014/main" id="{00000000-0008-0000-0200-00007F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11</xdr:row>
      <xdr:rowOff>4104</xdr:rowOff>
    </xdr:from>
    <xdr:to>
      <xdr:col>12</xdr:col>
      <xdr:colOff>164522</xdr:colOff>
      <xdr:row>11</xdr:row>
      <xdr:rowOff>166841</xdr:rowOff>
    </xdr:to>
    <xdr:grpSp>
      <xdr:nvGrpSpPr>
        <xdr:cNvPr id="1920" name="Group 1919">
          <a:extLst>
            <a:ext uri="{FF2B5EF4-FFF2-40B4-BE49-F238E27FC236}">
              <a16:creationId xmlns:a16="http://schemas.microsoft.com/office/drawing/2014/main" id="{00000000-0008-0000-0200-000080070000}"/>
            </a:ext>
          </a:extLst>
        </xdr:cNvPr>
        <xdr:cNvGrpSpPr/>
      </xdr:nvGrpSpPr>
      <xdr:grpSpPr>
        <a:xfrm>
          <a:off x="5693538" y="2648244"/>
          <a:ext cx="117404" cy="162737"/>
          <a:chOff x="6496416" y="135471422"/>
          <a:chExt cx="117279" cy="159032"/>
        </a:xfrm>
      </xdr:grpSpPr>
      <xdr:sp macro="" textlink="">
        <xdr:nvSpPr>
          <xdr:cNvPr id="1922" name="Rectangle: Rounded Corners 1921">
            <a:extLst>
              <a:ext uri="{FF2B5EF4-FFF2-40B4-BE49-F238E27FC236}">
                <a16:creationId xmlns:a16="http://schemas.microsoft.com/office/drawing/2014/main" id="{00000000-0008-0000-0200-000082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23" name="Rectangle 1922">
            <a:extLst>
              <a:ext uri="{FF2B5EF4-FFF2-40B4-BE49-F238E27FC236}">
                <a16:creationId xmlns:a16="http://schemas.microsoft.com/office/drawing/2014/main" id="{00000000-0008-0000-0200-000083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12</xdr:row>
      <xdr:rowOff>7001</xdr:rowOff>
    </xdr:from>
    <xdr:to>
      <xdr:col>12</xdr:col>
      <xdr:colOff>164522</xdr:colOff>
      <xdr:row>12</xdr:row>
      <xdr:rowOff>169738</xdr:rowOff>
    </xdr:to>
    <xdr:grpSp>
      <xdr:nvGrpSpPr>
        <xdr:cNvPr id="1924" name="Group 1923">
          <a:extLst>
            <a:ext uri="{FF2B5EF4-FFF2-40B4-BE49-F238E27FC236}">
              <a16:creationId xmlns:a16="http://schemas.microsoft.com/office/drawing/2014/main" id="{00000000-0008-0000-0200-000084070000}"/>
            </a:ext>
          </a:extLst>
        </xdr:cNvPr>
        <xdr:cNvGrpSpPr/>
      </xdr:nvGrpSpPr>
      <xdr:grpSpPr>
        <a:xfrm>
          <a:off x="5693538" y="2826401"/>
          <a:ext cx="117404" cy="162737"/>
          <a:chOff x="6496416" y="135471422"/>
          <a:chExt cx="117279" cy="159032"/>
        </a:xfrm>
      </xdr:grpSpPr>
      <xdr:sp macro="" textlink="">
        <xdr:nvSpPr>
          <xdr:cNvPr id="1925" name="Rectangle: Rounded Corners 1924">
            <a:extLst>
              <a:ext uri="{FF2B5EF4-FFF2-40B4-BE49-F238E27FC236}">
                <a16:creationId xmlns:a16="http://schemas.microsoft.com/office/drawing/2014/main" id="{00000000-0008-0000-0200-000085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26" name="Rectangle 1925">
            <a:extLst>
              <a:ext uri="{FF2B5EF4-FFF2-40B4-BE49-F238E27FC236}">
                <a16:creationId xmlns:a16="http://schemas.microsoft.com/office/drawing/2014/main" id="{00000000-0008-0000-0200-000086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20</xdr:row>
      <xdr:rowOff>7002</xdr:rowOff>
    </xdr:from>
    <xdr:to>
      <xdr:col>12</xdr:col>
      <xdr:colOff>164522</xdr:colOff>
      <xdr:row>20</xdr:row>
      <xdr:rowOff>169739</xdr:rowOff>
    </xdr:to>
    <xdr:grpSp>
      <xdr:nvGrpSpPr>
        <xdr:cNvPr id="1929" name="Group 1928">
          <a:extLst>
            <a:ext uri="{FF2B5EF4-FFF2-40B4-BE49-F238E27FC236}">
              <a16:creationId xmlns:a16="http://schemas.microsoft.com/office/drawing/2014/main" id="{00000000-0008-0000-0200-000089070000}"/>
            </a:ext>
          </a:extLst>
        </xdr:cNvPr>
        <xdr:cNvGrpSpPr/>
      </xdr:nvGrpSpPr>
      <xdr:grpSpPr>
        <a:xfrm>
          <a:off x="5693538" y="4228482"/>
          <a:ext cx="117404" cy="162737"/>
          <a:chOff x="6496416" y="135471422"/>
          <a:chExt cx="117279" cy="159032"/>
        </a:xfrm>
      </xdr:grpSpPr>
      <xdr:sp macro="" textlink="">
        <xdr:nvSpPr>
          <xdr:cNvPr id="1931" name="Rectangle: Rounded Corners 1930">
            <a:extLst>
              <a:ext uri="{FF2B5EF4-FFF2-40B4-BE49-F238E27FC236}">
                <a16:creationId xmlns:a16="http://schemas.microsoft.com/office/drawing/2014/main" id="{00000000-0008-0000-0200-00008B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33" name="Rectangle 1932">
            <a:extLst>
              <a:ext uri="{FF2B5EF4-FFF2-40B4-BE49-F238E27FC236}">
                <a16:creationId xmlns:a16="http://schemas.microsoft.com/office/drawing/2014/main" id="{00000000-0008-0000-0200-00008D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22</xdr:row>
      <xdr:rowOff>204021</xdr:rowOff>
    </xdr:from>
    <xdr:to>
      <xdr:col>12</xdr:col>
      <xdr:colOff>164522</xdr:colOff>
      <xdr:row>23</xdr:row>
      <xdr:rowOff>161047</xdr:rowOff>
    </xdr:to>
    <xdr:grpSp>
      <xdr:nvGrpSpPr>
        <xdr:cNvPr id="1934" name="Group 1933">
          <a:extLst>
            <a:ext uri="{FF2B5EF4-FFF2-40B4-BE49-F238E27FC236}">
              <a16:creationId xmlns:a16="http://schemas.microsoft.com/office/drawing/2014/main" id="{00000000-0008-0000-0200-00008E070000}"/>
            </a:ext>
          </a:extLst>
        </xdr:cNvPr>
        <xdr:cNvGrpSpPr/>
      </xdr:nvGrpSpPr>
      <xdr:grpSpPr>
        <a:xfrm>
          <a:off x="5693538" y="4776021"/>
          <a:ext cx="117404" cy="162766"/>
          <a:chOff x="6496416" y="135471422"/>
          <a:chExt cx="117279" cy="159032"/>
        </a:xfrm>
      </xdr:grpSpPr>
      <xdr:sp macro="" textlink="">
        <xdr:nvSpPr>
          <xdr:cNvPr id="1939" name="Rectangle: Rounded Corners 1938">
            <a:extLst>
              <a:ext uri="{FF2B5EF4-FFF2-40B4-BE49-F238E27FC236}">
                <a16:creationId xmlns:a16="http://schemas.microsoft.com/office/drawing/2014/main" id="{00000000-0008-0000-0200-000093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0" name="Rectangle 1939">
            <a:extLst>
              <a:ext uri="{FF2B5EF4-FFF2-40B4-BE49-F238E27FC236}">
                <a16:creationId xmlns:a16="http://schemas.microsoft.com/office/drawing/2014/main" id="{00000000-0008-0000-0200-000094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28</xdr:row>
      <xdr:rowOff>4105</xdr:rowOff>
    </xdr:from>
    <xdr:to>
      <xdr:col>12</xdr:col>
      <xdr:colOff>164522</xdr:colOff>
      <xdr:row>28</xdr:row>
      <xdr:rowOff>166842</xdr:rowOff>
    </xdr:to>
    <xdr:grpSp>
      <xdr:nvGrpSpPr>
        <xdr:cNvPr id="1941" name="Group 1940">
          <a:extLst>
            <a:ext uri="{FF2B5EF4-FFF2-40B4-BE49-F238E27FC236}">
              <a16:creationId xmlns:a16="http://schemas.microsoft.com/office/drawing/2014/main" id="{00000000-0008-0000-0200-000095070000}"/>
            </a:ext>
          </a:extLst>
        </xdr:cNvPr>
        <xdr:cNvGrpSpPr/>
      </xdr:nvGrpSpPr>
      <xdr:grpSpPr>
        <a:xfrm>
          <a:off x="5693538" y="5658145"/>
          <a:ext cx="117404" cy="162737"/>
          <a:chOff x="6496416" y="135471422"/>
          <a:chExt cx="117279" cy="159032"/>
        </a:xfrm>
      </xdr:grpSpPr>
      <xdr:sp macro="" textlink="">
        <xdr:nvSpPr>
          <xdr:cNvPr id="1947" name="Rectangle: Rounded Corners 1946">
            <a:extLst>
              <a:ext uri="{FF2B5EF4-FFF2-40B4-BE49-F238E27FC236}">
                <a16:creationId xmlns:a16="http://schemas.microsoft.com/office/drawing/2014/main" id="{00000000-0008-0000-0200-00009B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8" name="Rectangle 1947">
            <a:extLst>
              <a:ext uri="{FF2B5EF4-FFF2-40B4-BE49-F238E27FC236}">
                <a16:creationId xmlns:a16="http://schemas.microsoft.com/office/drawing/2014/main" id="{00000000-0008-0000-0200-00009C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30</xdr:row>
      <xdr:rowOff>7003</xdr:rowOff>
    </xdr:from>
    <xdr:to>
      <xdr:col>12</xdr:col>
      <xdr:colOff>164522</xdr:colOff>
      <xdr:row>30</xdr:row>
      <xdr:rowOff>169740</xdr:rowOff>
    </xdr:to>
    <xdr:grpSp>
      <xdr:nvGrpSpPr>
        <xdr:cNvPr id="1950" name="Group 1949">
          <a:extLst>
            <a:ext uri="{FF2B5EF4-FFF2-40B4-BE49-F238E27FC236}">
              <a16:creationId xmlns:a16="http://schemas.microsoft.com/office/drawing/2014/main" id="{00000000-0008-0000-0200-00009E070000}"/>
            </a:ext>
          </a:extLst>
        </xdr:cNvPr>
        <xdr:cNvGrpSpPr/>
      </xdr:nvGrpSpPr>
      <xdr:grpSpPr>
        <a:xfrm>
          <a:off x="5693538" y="6042043"/>
          <a:ext cx="117404" cy="162737"/>
          <a:chOff x="6496416" y="135471422"/>
          <a:chExt cx="117279" cy="159032"/>
        </a:xfrm>
      </xdr:grpSpPr>
      <xdr:sp macro="" textlink="">
        <xdr:nvSpPr>
          <xdr:cNvPr id="1951" name="Rectangle: Rounded Corners 1950">
            <a:extLst>
              <a:ext uri="{FF2B5EF4-FFF2-40B4-BE49-F238E27FC236}">
                <a16:creationId xmlns:a16="http://schemas.microsoft.com/office/drawing/2014/main" id="{00000000-0008-0000-0200-00009F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52" name="Rectangle 1951">
            <a:extLst>
              <a:ext uri="{FF2B5EF4-FFF2-40B4-BE49-F238E27FC236}">
                <a16:creationId xmlns:a16="http://schemas.microsoft.com/office/drawing/2014/main" id="{00000000-0008-0000-0200-0000A0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31</xdr:row>
      <xdr:rowOff>4105</xdr:rowOff>
    </xdr:from>
    <xdr:to>
      <xdr:col>12</xdr:col>
      <xdr:colOff>164522</xdr:colOff>
      <xdr:row>31</xdr:row>
      <xdr:rowOff>166842</xdr:rowOff>
    </xdr:to>
    <xdr:grpSp>
      <xdr:nvGrpSpPr>
        <xdr:cNvPr id="1953" name="Group 1952">
          <a:extLst>
            <a:ext uri="{FF2B5EF4-FFF2-40B4-BE49-F238E27FC236}">
              <a16:creationId xmlns:a16="http://schemas.microsoft.com/office/drawing/2014/main" id="{00000000-0008-0000-0200-0000A1070000}"/>
            </a:ext>
          </a:extLst>
        </xdr:cNvPr>
        <xdr:cNvGrpSpPr/>
      </xdr:nvGrpSpPr>
      <xdr:grpSpPr>
        <a:xfrm>
          <a:off x="5693538" y="6214405"/>
          <a:ext cx="117404" cy="162737"/>
          <a:chOff x="6496416" y="135471422"/>
          <a:chExt cx="117279" cy="159032"/>
        </a:xfrm>
      </xdr:grpSpPr>
      <xdr:sp macro="" textlink="">
        <xdr:nvSpPr>
          <xdr:cNvPr id="1960" name="Rectangle: Rounded Corners 1959">
            <a:extLst>
              <a:ext uri="{FF2B5EF4-FFF2-40B4-BE49-F238E27FC236}">
                <a16:creationId xmlns:a16="http://schemas.microsoft.com/office/drawing/2014/main" id="{00000000-0008-0000-0200-0000A8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61" name="Rectangle 1960">
            <a:extLst>
              <a:ext uri="{FF2B5EF4-FFF2-40B4-BE49-F238E27FC236}">
                <a16:creationId xmlns:a16="http://schemas.microsoft.com/office/drawing/2014/main" id="{00000000-0008-0000-0200-0000A9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32</xdr:row>
      <xdr:rowOff>4104</xdr:rowOff>
    </xdr:from>
    <xdr:to>
      <xdr:col>12</xdr:col>
      <xdr:colOff>164522</xdr:colOff>
      <xdr:row>32</xdr:row>
      <xdr:rowOff>166841</xdr:rowOff>
    </xdr:to>
    <xdr:grpSp>
      <xdr:nvGrpSpPr>
        <xdr:cNvPr id="1963" name="Group 1962">
          <a:extLst>
            <a:ext uri="{FF2B5EF4-FFF2-40B4-BE49-F238E27FC236}">
              <a16:creationId xmlns:a16="http://schemas.microsoft.com/office/drawing/2014/main" id="{00000000-0008-0000-0200-0000AB070000}"/>
            </a:ext>
          </a:extLst>
        </xdr:cNvPr>
        <xdr:cNvGrpSpPr/>
      </xdr:nvGrpSpPr>
      <xdr:grpSpPr>
        <a:xfrm>
          <a:off x="5693538" y="6389664"/>
          <a:ext cx="117404" cy="162737"/>
          <a:chOff x="6496416" y="135471422"/>
          <a:chExt cx="117279" cy="159032"/>
        </a:xfrm>
      </xdr:grpSpPr>
      <xdr:sp macro="" textlink="">
        <xdr:nvSpPr>
          <xdr:cNvPr id="1964" name="Rectangle: Rounded Corners 1963">
            <a:extLst>
              <a:ext uri="{FF2B5EF4-FFF2-40B4-BE49-F238E27FC236}">
                <a16:creationId xmlns:a16="http://schemas.microsoft.com/office/drawing/2014/main" id="{00000000-0008-0000-0200-0000AC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65" name="Rectangle 1964">
            <a:extLst>
              <a:ext uri="{FF2B5EF4-FFF2-40B4-BE49-F238E27FC236}">
                <a16:creationId xmlns:a16="http://schemas.microsoft.com/office/drawing/2014/main" id="{00000000-0008-0000-0200-0000AD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33</xdr:row>
      <xdr:rowOff>1207</xdr:rowOff>
    </xdr:from>
    <xdr:to>
      <xdr:col>12</xdr:col>
      <xdr:colOff>164522</xdr:colOff>
      <xdr:row>33</xdr:row>
      <xdr:rowOff>163944</xdr:rowOff>
    </xdr:to>
    <xdr:grpSp>
      <xdr:nvGrpSpPr>
        <xdr:cNvPr id="1967" name="Group 1966">
          <a:extLst>
            <a:ext uri="{FF2B5EF4-FFF2-40B4-BE49-F238E27FC236}">
              <a16:creationId xmlns:a16="http://schemas.microsoft.com/office/drawing/2014/main" id="{00000000-0008-0000-0200-0000AF070000}"/>
            </a:ext>
          </a:extLst>
        </xdr:cNvPr>
        <xdr:cNvGrpSpPr/>
      </xdr:nvGrpSpPr>
      <xdr:grpSpPr>
        <a:xfrm>
          <a:off x="5693538" y="6562027"/>
          <a:ext cx="117404" cy="162737"/>
          <a:chOff x="6496416" y="135471422"/>
          <a:chExt cx="117279" cy="159032"/>
        </a:xfrm>
      </xdr:grpSpPr>
      <xdr:sp macro="" textlink="">
        <xdr:nvSpPr>
          <xdr:cNvPr id="1968" name="Rectangle: Rounded Corners 1967">
            <a:extLst>
              <a:ext uri="{FF2B5EF4-FFF2-40B4-BE49-F238E27FC236}">
                <a16:creationId xmlns:a16="http://schemas.microsoft.com/office/drawing/2014/main" id="{00000000-0008-0000-0200-0000B0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033" name="Rectangle 2032">
            <a:extLst>
              <a:ext uri="{FF2B5EF4-FFF2-40B4-BE49-F238E27FC236}">
                <a16:creationId xmlns:a16="http://schemas.microsoft.com/office/drawing/2014/main" id="{00000000-0008-0000-0200-0000F1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34</xdr:row>
      <xdr:rowOff>4105</xdr:rowOff>
    </xdr:from>
    <xdr:to>
      <xdr:col>12</xdr:col>
      <xdr:colOff>164522</xdr:colOff>
      <xdr:row>34</xdr:row>
      <xdr:rowOff>166842</xdr:rowOff>
    </xdr:to>
    <xdr:grpSp>
      <xdr:nvGrpSpPr>
        <xdr:cNvPr id="2034" name="Group 2033">
          <a:extLst>
            <a:ext uri="{FF2B5EF4-FFF2-40B4-BE49-F238E27FC236}">
              <a16:creationId xmlns:a16="http://schemas.microsoft.com/office/drawing/2014/main" id="{00000000-0008-0000-0200-0000F2070000}"/>
            </a:ext>
          </a:extLst>
        </xdr:cNvPr>
        <xdr:cNvGrpSpPr/>
      </xdr:nvGrpSpPr>
      <xdr:grpSpPr>
        <a:xfrm>
          <a:off x="5693538" y="6740185"/>
          <a:ext cx="117404" cy="162737"/>
          <a:chOff x="6496416" y="135471422"/>
          <a:chExt cx="117279" cy="159032"/>
        </a:xfrm>
      </xdr:grpSpPr>
      <xdr:sp macro="" textlink="">
        <xdr:nvSpPr>
          <xdr:cNvPr id="2035" name="Rectangle: Rounded Corners 2034">
            <a:extLst>
              <a:ext uri="{FF2B5EF4-FFF2-40B4-BE49-F238E27FC236}">
                <a16:creationId xmlns:a16="http://schemas.microsoft.com/office/drawing/2014/main" id="{00000000-0008-0000-0200-0000F3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036" name="Rectangle 2035">
            <a:extLst>
              <a:ext uri="{FF2B5EF4-FFF2-40B4-BE49-F238E27FC236}">
                <a16:creationId xmlns:a16="http://schemas.microsoft.com/office/drawing/2014/main" id="{00000000-0008-0000-0200-0000F4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36</xdr:row>
      <xdr:rowOff>7003</xdr:rowOff>
    </xdr:from>
    <xdr:to>
      <xdr:col>12</xdr:col>
      <xdr:colOff>164522</xdr:colOff>
      <xdr:row>36</xdr:row>
      <xdr:rowOff>169740</xdr:rowOff>
    </xdr:to>
    <xdr:grpSp>
      <xdr:nvGrpSpPr>
        <xdr:cNvPr id="2103" name="Group 2102">
          <a:extLst>
            <a:ext uri="{FF2B5EF4-FFF2-40B4-BE49-F238E27FC236}">
              <a16:creationId xmlns:a16="http://schemas.microsoft.com/office/drawing/2014/main" id="{00000000-0008-0000-0200-000037080000}"/>
            </a:ext>
          </a:extLst>
        </xdr:cNvPr>
        <xdr:cNvGrpSpPr/>
      </xdr:nvGrpSpPr>
      <xdr:grpSpPr>
        <a:xfrm>
          <a:off x="5693538" y="7093603"/>
          <a:ext cx="117404" cy="162737"/>
          <a:chOff x="6496416" y="135471422"/>
          <a:chExt cx="117279" cy="159032"/>
        </a:xfrm>
      </xdr:grpSpPr>
      <xdr:sp macro="" textlink="">
        <xdr:nvSpPr>
          <xdr:cNvPr id="2105" name="Rectangle: Rounded Corners 2104">
            <a:extLst>
              <a:ext uri="{FF2B5EF4-FFF2-40B4-BE49-F238E27FC236}">
                <a16:creationId xmlns:a16="http://schemas.microsoft.com/office/drawing/2014/main" id="{00000000-0008-0000-0200-000039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06" name="Rectangle 2105">
            <a:extLst>
              <a:ext uri="{FF2B5EF4-FFF2-40B4-BE49-F238E27FC236}">
                <a16:creationId xmlns:a16="http://schemas.microsoft.com/office/drawing/2014/main" id="{00000000-0008-0000-0200-00003A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38</xdr:row>
      <xdr:rowOff>1208</xdr:rowOff>
    </xdr:from>
    <xdr:to>
      <xdr:col>12</xdr:col>
      <xdr:colOff>164522</xdr:colOff>
      <xdr:row>38</xdr:row>
      <xdr:rowOff>163945</xdr:rowOff>
    </xdr:to>
    <xdr:grpSp>
      <xdr:nvGrpSpPr>
        <xdr:cNvPr id="2107" name="Group 2106">
          <a:extLst>
            <a:ext uri="{FF2B5EF4-FFF2-40B4-BE49-F238E27FC236}">
              <a16:creationId xmlns:a16="http://schemas.microsoft.com/office/drawing/2014/main" id="{00000000-0008-0000-0200-00003B080000}"/>
            </a:ext>
          </a:extLst>
        </xdr:cNvPr>
        <xdr:cNvGrpSpPr/>
      </xdr:nvGrpSpPr>
      <xdr:grpSpPr>
        <a:xfrm>
          <a:off x="5693538" y="7438328"/>
          <a:ext cx="117404" cy="162737"/>
          <a:chOff x="6496416" y="135471422"/>
          <a:chExt cx="117279" cy="159032"/>
        </a:xfrm>
      </xdr:grpSpPr>
      <xdr:sp macro="" textlink="">
        <xdr:nvSpPr>
          <xdr:cNvPr id="2108" name="Rectangle: Rounded Corners 2107">
            <a:extLst>
              <a:ext uri="{FF2B5EF4-FFF2-40B4-BE49-F238E27FC236}">
                <a16:creationId xmlns:a16="http://schemas.microsoft.com/office/drawing/2014/main" id="{00000000-0008-0000-0200-00003C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09" name="Rectangle 2108">
            <a:extLst>
              <a:ext uri="{FF2B5EF4-FFF2-40B4-BE49-F238E27FC236}">
                <a16:creationId xmlns:a16="http://schemas.microsoft.com/office/drawing/2014/main" id="{00000000-0008-0000-0200-00003D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40</xdr:row>
      <xdr:rowOff>7003</xdr:rowOff>
    </xdr:from>
    <xdr:to>
      <xdr:col>12</xdr:col>
      <xdr:colOff>164522</xdr:colOff>
      <xdr:row>40</xdr:row>
      <xdr:rowOff>169740</xdr:rowOff>
    </xdr:to>
    <xdr:grpSp>
      <xdr:nvGrpSpPr>
        <xdr:cNvPr id="2110" name="Group 2109">
          <a:extLst>
            <a:ext uri="{FF2B5EF4-FFF2-40B4-BE49-F238E27FC236}">
              <a16:creationId xmlns:a16="http://schemas.microsoft.com/office/drawing/2014/main" id="{00000000-0008-0000-0200-00003E080000}"/>
            </a:ext>
          </a:extLst>
        </xdr:cNvPr>
        <xdr:cNvGrpSpPr/>
      </xdr:nvGrpSpPr>
      <xdr:grpSpPr>
        <a:xfrm>
          <a:off x="5693538" y="7794643"/>
          <a:ext cx="117404" cy="162737"/>
          <a:chOff x="6496416" y="135471422"/>
          <a:chExt cx="117279" cy="159032"/>
        </a:xfrm>
      </xdr:grpSpPr>
      <xdr:sp macro="" textlink="">
        <xdr:nvSpPr>
          <xdr:cNvPr id="2111" name="Rectangle: Rounded Corners 2110">
            <a:extLst>
              <a:ext uri="{FF2B5EF4-FFF2-40B4-BE49-F238E27FC236}">
                <a16:creationId xmlns:a16="http://schemas.microsoft.com/office/drawing/2014/main" id="{00000000-0008-0000-0200-00003F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12" name="Rectangle 2111">
            <a:extLst>
              <a:ext uri="{FF2B5EF4-FFF2-40B4-BE49-F238E27FC236}">
                <a16:creationId xmlns:a16="http://schemas.microsoft.com/office/drawing/2014/main" id="{00000000-0008-0000-0200-000040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22860</xdr:colOff>
      <xdr:row>460</xdr:row>
      <xdr:rowOff>76200</xdr:rowOff>
    </xdr:from>
    <xdr:to>
      <xdr:col>13</xdr:col>
      <xdr:colOff>22860</xdr:colOff>
      <xdr:row>462</xdr:row>
      <xdr:rowOff>0</xdr:rowOff>
    </xdr:to>
    <xdr:sp macro="" textlink="">
      <xdr:nvSpPr>
        <xdr:cNvPr id="1607" name="You believe whatever serves your needs.">
          <a:extLst>
            <a:ext uri="{FF2B5EF4-FFF2-40B4-BE49-F238E27FC236}">
              <a16:creationId xmlns:a16="http://schemas.microsoft.com/office/drawing/2014/main" id="{00000000-0008-0000-0200-000047060000}"/>
            </a:ext>
          </a:extLst>
        </xdr:cNvPr>
        <xdr:cNvSpPr txBox="1">
          <a:spLocks/>
        </xdr:cNvSpPr>
      </xdr:nvSpPr>
      <xdr:spPr>
        <a:xfrm>
          <a:off x="144780" y="93558360"/>
          <a:ext cx="59436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100" b="0"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Politics mainly addresses conflict between how each other experience your social-needs.</a:t>
          </a:r>
          <a:endParaRPr lang="en-US" sz="1100" b="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15</xdr:col>
      <xdr:colOff>38100</xdr:colOff>
      <xdr:row>463</xdr:row>
      <xdr:rowOff>76200</xdr:rowOff>
    </xdr:from>
    <xdr:to>
      <xdr:col>26</xdr:col>
      <xdr:colOff>449580</xdr:colOff>
      <xdr:row>468</xdr:row>
      <xdr:rowOff>213360</xdr:rowOff>
    </xdr:to>
    <xdr:sp macro="" textlink="">
      <xdr:nvSpPr>
        <xdr:cNvPr id="791" name="TextBox 790">
          <a:extLst>
            <a:ext uri="{FF2B5EF4-FFF2-40B4-BE49-F238E27FC236}">
              <a16:creationId xmlns:a16="http://schemas.microsoft.com/office/drawing/2014/main" id="{00000000-0008-0000-0100-000017030000}"/>
            </a:ext>
          </a:extLst>
        </xdr:cNvPr>
        <xdr:cNvSpPr txBox="1"/>
      </xdr:nvSpPr>
      <xdr:spPr>
        <a:xfrm>
          <a:off x="6416040" y="93139260"/>
          <a:ext cx="5943600" cy="126492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Too much generalizing leads both sides into error. Too often, such errors crystallize into overgeneralizing norms contested in politics. We step back from these alienating generalizations to know each other' needs. The more you know another's needs, and the more they know yours, the easier to address each other's needs. Instead of politics prioritizing your own needs, we prioritize the needs of others in the name of love. </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1</xdr:colOff>
      <xdr:row>17</xdr:row>
      <xdr:rowOff>7620</xdr:rowOff>
    </xdr:from>
    <xdr:to>
      <xdr:col>27</xdr:col>
      <xdr:colOff>2</xdr:colOff>
      <xdr:row>24</xdr:row>
      <xdr:rowOff>7620</xdr:rowOff>
    </xdr:to>
    <xdr:grpSp>
      <xdr:nvGrpSpPr>
        <xdr:cNvPr id="2" name="Group 1" hidden="1">
          <a:extLst>
            <a:ext uri="{FF2B5EF4-FFF2-40B4-BE49-F238E27FC236}">
              <a16:creationId xmlns:a16="http://schemas.microsoft.com/office/drawing/2014/main" id="{00000000-0008-0000-0100-000002000000}"/>
            </a:ext>
          </a:extLst>
        </xdr:cNvPr>
        <xdr:cNvGrpSpPr/>
      </xdr:nvGrpSpPr>
      <xdr:grpSpPr>
        <a:xfrm>
          <a:off x="6263640" y="6416040"/>
          <a:ext cx="0" cy="3040380"/>
          <a:chOff x="7787640" y="586740"/>
          <a:chExt cx="2983245" cy="922020"/>
        </a:xfrm>
      </xdr:grpSpPr>
      <xdr:sp macro="" textlink="">
        <xdr:nvSpPr>
          <xdr:cNvPr id="3" name="Speech Bubble: Rectangle with Corners Rounded 2">
            <a:extLst>
              <a:ext uri="{FF2B5EF4-FFF2-40B4-BE49-F238E27FC236}">
                <a16:creationId xmlns:a16="http://schemas.microsoft.com/office/drawing/2014/main" id="{00000000-0008-0000-0100-000003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4" name="Speech Bubble: Rectangle with Corners Rounded 3">
            <a:extLst>
              <a:ext uri="{FF2B5EF4-FFF2-40B4-BE49-F238E27FC236}">
                <a16:creationId xmlns:a16="http://schemas.microsoft.com/office/drawing/2014/main" id="{00000000-0008-0000-0100-000004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3</xdr:row>
      <xdr:rowOff>525460</xdr:rowOff>
    </xdr:from>
    <xdr:to>
      <xdr:col>26</xdr:col>
      <xdr:colOff>24997</xdr:colOff>
      <xdr:row>5</xdr:row>
      <xdr:rowOff>16263</xdr:rowOff>
    </xdr:to>
    <xdr:sp macro="" textlink="">
      <xdr:nvSpPr>
        <xdr:cNvPr id="5" name="Arrow: Left 4" hidden="1">
          <a:extLst>
            <a:ext uri="{FF2B5EF4-FFF2-40B4-BE49-F238E27FC236}">
              <a16:creationId xmlns:a16="http://schemas.microsoft.com/office/drawing/2014/main" id="{00000000-0008-0000-0100-000005000000}"/>
            </a:ext>
          </a:extLst>
        </xdr:cNvPr>
        <xdr:cNvSpPr>
          <a:spLocks noChangeAspect="1"/>
        </xdr:cNvSpPr>
      </xdr:nvSpPr>
      <xdr:spPr>
        <a:xfrm rot="4020000">
          <a:off x="11791722" y="1320729"/>
          <a:ext cx="191843" cy="94826"/>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147</xdr:row>
      <xdr:rowOff>8467</xdr:rowOff>
    </xdr:from>
    <xdr:to>
      <xdr:col>36</xdr:col>
      <xdr:colOff>134464</xdr:colOff>
      <xdr:row>153</xdr:row>
      <xdr:rowOff>75316</xdr:rowOff>
    </xdr:to>
    <xdr:pic>
      <xdr:nvPicPr>
        <xdr:cNvPr id="6" name="Picture 5" hidden="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9525847"/>
          <a:ext cx="6047584" cy="1502795"/>
        </a:xfrm>
        <a:prstGeom prst="rect">
          <a:avLst/>
        </a:prstGeom>
      </xdr:spPr>
    </xdr:pic>
    <xdr:clientData/>
  </xdr:twoCellAnchor>
  <xdr:twoCellAnchor>
    <xdr:from>
      <xdr:col>0</xdr:col>
      <xdr:colOff>0</xdr:colOff>
      <xdr:row>99</xdr:row>
      <xdr:rowOff>378322</xdr:rowOff>
    </xdr:from>
    <xdr:to>
      <xdr:col>0</xdr:col>
      <xdr:colOff>0</xdr:colOff>
      <xdr:row>107</xdr:row>
      <xdr:rowOff>152396</xdr:rowOff>
    </xdr:to>
    <xdr:sp macro="" textlink="">
      <xdr:nvSpPr>
        <xdr:cNvPr id="8" name="TextBox 7">
          <a:extLst>
            <a:ext uri="{FF2B5EF4-FFF2-40B4-BE49-F238E27FC236}">
              <a16:creationId xmlns:a16="http://schemas.microsoft.com/office/drawing/2014/main" id="{00000000-0008-0000-0100-000008000000}"/>
            </a:ext>
          </a:extLst>
        </xdr:cNvPr>
        <xdr:cNvSpPr txBox="1"/>
      </xdr:nvSpPr>
      <xdr:spPr>
        <a:xfrm>
          <a:off x="0" y="17355682"/>
          <a:ext cx="0" cy="1381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400" b="1">
              <a:solidFill>
                <a:srgbClr val="2D143C"/>
              </a:solidFill>
              <a:effectLst/>
              <a:latin typeface="Arial" panose="020B0604020202020204" pitchFamily="34" charset="0"/>
              <a:ea typeface="+mn-ea"/>
              <a:cs typeface="Arial" panose="020B0604020202020204" pitchFamily="34" charset="0"/>
            </a:rPr>
            <a:t>How do you</a:t>
          </a:r>
          <a:r>
            <a:rPr lang="en-US" sz="1400" b="1" baseline="0">
              <a:solidFill>
                <a:srgbClr val="2D143C"/>
              </a:solidFill>
              <a:effectLst/>
              <a:latin typeface="Arial" panose="020B0604020202020204" pitchFamily="34" charset="0"/>
              <a:ea typeface="+mn-ea"/>
              <a:cs typeface="Arial" panose="020B0604020202020204" pitchFamily="34" charset="0"/>
            </a:rPr>
            <a:t> answer if checked for sneezing in public?</a:t>
          </a:r>
          <a:endParaRPr lang="en-US" sz="1400" b="1">
            <a:solidFill>
              <a:srgbClr val="2D143C"/>
            </a:solidFill>
            <a:latin typeface="Arial" panose="020B0604020202020204" pitchFamily="34" charset="0"/>
            <a:cs typeface="Arial" panose="020B0604020202020204" pitchFamily="34" charset="0"/>
          </a:endParaRPr>
        </a:p>
      </xdr:txBody>
    </xdr:sp>
    <xdr:clientData/>
  </xdr:twoCellAnchor>
  <xdr:twoCellAnchor>
    <xdr:from>
      <xdr:col>111</xdr:col>
      <xdr:colOff>364123</xdr:colOff>
      <xdr:row>24</xdr:row>
      <xdr:rowOff>133685</xdr:rowOff>
    </xdr:from>
    <xdr:to>
      <xdr:col>121</xdr:col>
      <xdr:colOff>305402</xdr:colOff>
      <xdr:row>60</xdr:row>
      <xdr:rowOff>65506</xdr:rowOff>
    </xdr:to>
    <xdr:sp macro="" textlink="">
      <xdr:nvSpPr>
        <xdr:cNvPr id="90" name="TextBox 89">
          <a:extLst>
            <a:ext uri="{FF2B5EF4-FFF2-40B4-BE49-F238E27FC236}">
              <a16:creationId xmlns:a16="http://schemas.microsoft.com/office/drawing/2014/main" id="{00000000-0008-0000-0100-00005A000000}"/>
            </a:ext>
          </a:extLst>
        </xdr:cNvPr>
        <xdr:cNvSpPr txBox="1"/>
      </xdr:nvSpPr>
      <xdr:spPr>
        <a:xfrm>
          <a:off x="36355923" y="5670885"/>
          <a:ext cx="6037279" cy="2471821"/>
        </a:xfrm>
        <a:prstGeom prst="rect">
          <a:avLst/>
        </a:prstGeom>
        <a:solidFill>
          <a:srgbClr val="D7FFE6">
            <a:alpha val="80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Big bold idea</a:t>
          </a:r>
        </a:p>
        <a:p>
          <a:pPr>
            <a:spcBef>
              <a:spcPts val="600"/>
            </a:spcBef>
          </a:pPr>
          <a:r>
            <a:rPr lang="en-US" sz="1200" b="0" spc="-20" baseline="0">
              <a:solidFill>
                <a:schemeClr val="dk1"/>
              </a:solidFill>
              <a:latin typeface="Tahoma" panose="020B0604030504040204" pitchFamily="34" charset="0"/>
              <a:ea typeface="Tahoma" panose="020B0604030504040204" pitchFamily="34" charset="0"/>
              <a:cs typeface="Tahoma" panose="020B0604030504040204" pitchFamily="34" charset="0"/>
            </a:rPr>
            <a:t>Take a stand with us against politics-as-usual. Your vote is not a commodity to be bought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and sold with manipulative ads or other commercial tactics. Do they really assume they can get to you without talking to you personally? </a:t>
          </a:r>
        </a:p>
        <a:p>
          <a:pPr>
            <a:spcBef>
              <a:spcPts val="600"/>
            </a:spcBef>
          </a:pPr>
          <a:r>
            <a:rPr lang="en-US" sz="1200" b="0" spc="-20" baseline="0">
              <a:solidFill>
                <a:schemeClr val="dk1"/>
              </a:solidFill>
              <a:latin typeface="Tahoma" panose="020B0604030504040204" pitchFamily="34" charset="0"/>
              <a:ea typeface="Tahoma" panose="020B0604030504040204" pitchFamily="34" charset="0"/>
              <a:cs typeface="Tahoma" panose="020B0604030504040204" pitchFamily="34" charset="0"/>
            </a:rPr>
            <a:t>Join us in turning the tables on their objectification of you. We take you to the candidate</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 to confront their divisive politics with the compelling vision of Harmony Politics. Instead of them trying to reach you with generalizations that don't fit, you reach them with the spedific truth of your politically impacted needs. </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First, you give them a satisfying taste of Harmony Politics. Free to all candidates, to all pundits, to all political influencers. Hook them with love, free love.</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Then you add a little more. You offer the truth they require to create some competitive advantage over their competitors. For a price, of course. </a:t>
          </a:r>
          <a:endParaRPr lang="en-US" sz="1400" b="0" baseline="0">
            <a:solidFill>
              <a:schemeClr val="dk1"/>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9</xdr:col>
      <xdr:colOff>468455</xdr:colOff>
      <xdr:row>51</xdr:row>
      <xdr:rowOff>22860</xdr:rowOff>
    </xdr:from>
    <xdr:to>
      <xdr:col>12</xdr:col>
      <xdr:colOff>501876</xdr:colOff>
      <xdr:row>52</xdr:row>
      <xdr:rowOff>97772</xdr:rowOff>
    </xdr:to>
    <xdr:sp macro="" textlink="">
      <xdr:nvSpPr>
        <xdr:cNvPr id="214" name="Arrow: Left 213">
          <a:hlinkClick xmlns:r="http://schemas.openxmlformats.org/officeDocument/2006/relationships" r:id="rId2" tooltip="back to Harmony Politics tab"/>
          <a:extLst>
            <a:ext uri="{FF2B5EF4-FFF2-40B4-BE49-F238E27FC236}">
              <a16:creationId xmlns:a16="http://schemas.microsoft.com/office/drawing/2014/main" id="{00000000-0008-0000-0100-0000D6000000}"/>
            </a:ext>
          </a:extLst>
        </xdr:cNvPr>
        <xdr:cNvSpPr/>
      </xdr:nvSpPr>
      <xdr:spPr>
        <a:xfrm>
          <a:off x="4606115" y="16695420"/>
          <a:ext cx="1542181" cy="196832"/>
        </a:xfrm>
        <a:prstGeom prst="leftArrow">
          <a:avLst>
            <a:gd name="adj1" fmla="val 100000"/>
            <a:gd name="adj2" fmla="val 91861"/>
          </a:avLst>
        </a:prstGeom>
        <a:solidFill>
          <a:srgbClr val="FF99FF"/>
        </a:solidFill>
        <a:ln>
          <a:solidFill>
            <a:srgbClr val="FF99FF"/>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baseline="0"/>
            <a:t> to HP tab</a:t>
          </a:r>
          <a:endParaRPr lang="en-US" sz="1200" b="1"/>
        </a:p>
      </xdr:txBody>
    </xdr:sp>
    <xdr:clientData/>
  </xdr:twoCellAnchor>
  <xdr:twoCellAnchor>
    <xdr:from>
      <xdr:col>23</xdr:col>
      <xdr:colOff>480863</xdr:colOff>
      <xdr:row>88</xdr:row>
      <xdr:rowOff>35474</xdr:rowOff>
    </xdr:from>
    <xdr:to>
      <xdr:col>26</xdr:col>
      <xdr:colOff>500915</xdr:colOff>
      <xdr:row>88</xdr:row>
      <xdr:rowOff>322895</xdr:rowOff>
    </xdr:to>
    <xdr:sp macro="" textlink="">
      <xdr:nvSpPr>
        <xdr:cNvPr id="228" name="Arrow: Left 227">
          <a:hlinkClick xmlns:r="http://schemas.openxmlformats.org/officeDocument/2006/relationships" r:id="rId2" tooltip="back to Harmony Politics tab"/>
          <a:extLst>
            <a:ext uri="{FF2B5EF4-FFF2-40B4-BE49-F238E27FC236}">
              <a16:creationId xmlns:a16="http://schemas.microsoft.com/office/drawing/2014/main" id="{00000000-0008-0000-0100-0000E4000000}"/>
            </a:ext>
          </a:extLst>
        </xdr:cNvPr>
        <xdr:cNvSpPr/>
      </xdr:nvSpPr>
      <xdr:spPr>
        <a:xfrm>
          <a:off x="10983763" y="25410074"/>
          <a:ext cx="1544052" cy="28742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421106</xdr:colOff>
      <xdr:row>99</xdr:row>
      <xdr:rowOff>60158</xdr:rowOff>
    </xdr:from>
    <xdr:to>
      <xdr:col>26</xdr:col>
      <xdr:colOff>441158</xdr:colOff>
      <xdr:row>101</xdr:row>
      <xdr:rowOff>15239</xdr:rowOff>
    </xdr:to>
    <xdr:sp macro="" textlink="">
      <xdr:nvSpPr>
        <xdr:cNvPr id="229" name="Arrow: Left 228">
          <a:hlinkClick xmlns:r="http://schemas.openxmlformats.org/officeDocument/2006/relationships" r:id="rId2" tooltip="back to Harmony Politics tab"/>
          <a:extLst>
            <a:ext uri="{FF2B5EF4-FFF2-40B4-BE49-F238E27FC236}">
              <a16:creationId xmlns:a16="http://schemas.microsoft.com/office/drawing/2014/main" id="{00000000-0008-0000-0100-0000E5000000}"/>
            </a:ext>
          </a:extLst>
        </xdr:cNvPr>
        <xdr:cNvSpPr/>
      </xdr:nvSpPr>
      <xdr:spPr>
        <a:xfrm>
          <a:off x="10822406" y="27964598"/>
          <a:ext cx="1528812" cy="26750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461210</xdr:colOff>
      <xdr:row>137</xdr:row>
      <xdr:rowOff>53474</xdr:rowOff>
    </xdr:from>
    <xdr:to>
      <xdr:col>26</xdr:col>
      <xdr:colOff>481262</xdr:colOff>
      <xdr:row>137</xdr:row>
      <xdr:rowOff>340895</xdr:rowOff>
    </xdr:to>
    <xdr:sp macro="" textlink="">
      <xdr:nvSpPr>
        <xdr:cNvPr id="230" name="Arrow: Left 229">
          <a:hlinkClick xmlns:r="http://schemas.openxmlformats.org/officeDocument/2006/relationships" r:id="rId2" tooltip="back to Harmony Politics tab"/>
          <a:extLst>
            <a:ext uri="{FF2B5EF4-FFF2-40B4-BE49-F238E27FC236}">
              <a16:creationId xmlns:a16="http://schemas.microsoft.com/office/drawing/2014/main" id="{00000000-0008-0000-0100-0000E6000000}"/>
            </a:ext>
          </a:extLst>
        </xdr:cNvPr>
        <xdr:cNvSpPr/>
      </xdr:nvSpPr>
      <xdr:spPr>
        <a:xfrm>
          <a:off x="10862510" y="25481414"/>
          <a:ext cx="1528812"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45450</xdr:colOff>
      <xdr:row>99</xdr:row>
      <xdr:rowOff>379663</xdr:rowOff>
    </xdr:from>
    <xdr:to>
      <xdr:col>27</xdr:col>
      <xdr:colOff>118977</xdr:colOff>
      <xdr:row>100</xdr:row>
      <xdr:rowOff>98926</xdr:rowOff>
    </xdr:to>
    <xdr:sp macro="" textlink="">
      <xdr:nvSpPr>
        <xdr:cNvPr id="259" name="Right Triangle 258">
          <a:extLst>
            <a:ext uri="{FF2B5EF4-FFF2-40B4-BE49-F238E27FC236}">
              <a16:creationId xmlns:a16="http://schemas.microsoft.com/office/drawing/2014/main" id="{00000000-0008-0000-0100-000003010000}"/>
            </a:ext>
          </a:extLst>
        </xdr:cNvPr>
        <xdr:cNvSpPr/>
      </xdr:nvSpPr>
      <xdr:spPr>
        <a:xfrm flipH="1" flipV="1">
          <a:off x="12458430" y="17357023"/>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27</xdr:col>
      <xdr:colOff>45449</xdr:colOff>
      <xdr:row>138</xdr:row>
      <xdr:rowOff>5348</xdr:rowOff>
    </xdr:from>
    <xdr:to>
      <xdr:col>27</xdr:col>
      <xdr:colOff>118976</xdr:colOff>
      <xdr:row>138</xdr:row>
      <xdr:rowOff>105611</xdr:rowOff>
    </xdr:to>
    <xdr:sp macro="" textlink="">
      <xdr:nvSpPr>
        <xdr:cNvPr id="263" name="Right Triangle 262">
          <a:extLst>
            <a:ext uri="{FF2B5EF4-FFF2-40B4-BE49-F238E27FC236}">
              <a16:creationId xmlns:a16="http://schemas.microsoft.com/office/drawing/2014/main" id="{00000000-0008-0000-0100-000007010000}"/>
            </a:ext>
          </a:extLst>
        </xdr:cNvPr>
        <xdr:cNvSpPr/>
      </xdr:nvSpPr>
      <xdr:spPr>
        <a:xfrm flipH="1" flipV="1">
          <a:off x="12458429" y="2581428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13</xdr:col>
      <xdr:colOff>44112</xdr:colOff>
      <xdr:row>137</xdr:row>
      <xdr:rowOff>378327</xdr:rowOff>
    </xdr:from>
    <xdr:to>
      <xdr:col>13</xdr:col>
      <xdr:colOff>117639</xdr:colOff>
      <xdr:row>138</xdr:row>
      <xdr:rowOff>97590</xdr:rowOff>
    </xdr:to>
    <xdr:sp macro="" textlink="">
      <xdr:nvSpPr>
        <xdr:cNvPr id="264" name="Right Triangle 263">
          <a:extLst>
            <a:ext uri="{FF2B5EF4-FFF2-40B4-BE49-F238E27FC236}">
              <a16:creationId xmlns:a16="http://schemas.microsoft.com/office/drawing/2014/main" id="{00000000-0008-0000-0100-000008010000}"/>
            </a:ext>
          </a:extLst>
        </xdr:cNvPr>
        <xdr:cNvSpPr/>
      </xdr:nvSpPr>
      <xdr:spPr>
        <a:xfrm flipH="1" flipV="1">
          <a:off x="6193452" y="25806267"/>
          <a:ext cx="7352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461210</xdr:colOff>
      <xdr:row>213</xdr:row>
      <xdr:rowOff>53474</xdr:rowOff>
    </xdr:from>
    <xdr:to>
      <xdr:col>26</xdr:col>
      <xdr:colOff>481262</xdr:colOff>
      <xdr:row>213</xdr:row>
      <xdr:rowOff>340895</xdr:rowOff>
    </xdr:to>
    <xdr:sp macro="" textlink="">
      <xdr:nvSpPr>
        <xdr:cNvPr id="310" name="Arrow: Left 309">
          <a:hlinkClick xmlns:r="http://schemas.openxmlformats.org/officeDocument/2006/relationships" r:id="rId2" tooltip="back to Harmony Politics tab"/>
          <a:extLst>
            <a:ext uri="{FF2B5EF4-FFF2-40B4-BE49-F238E27FC236}">
              <a16:creationId xmlns:a16="http://schemas.microsoft.com/office/drawing/2014/main" id="{00000000-0008-0000-0100-000036010000}"/>
            </a:ext>
          </a:extLst>
        </xdr:cNvPr>
        <xdr:cNvSpPr/>
      </xdr:nvSpPr>
      <xdr:spPr>
        <a:xfrm>
          <a:off x="10883820" y="25574016"/>
          <a:ext cx="1531137"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13</xdr:col>
      <xdr:colOff>44112</xdr:colOff>
      <xdr:row>213</xdr:row>
      <xdr:rowOff>378327</xdr:rowOff>
    </xdr:from>
    <xdr:to>
      <xdr:col>14</xdr:col>
      <xdr:colOff>3339</xdr:colOff>
      <xdr:row>214</xdr:row>
      <xdr:rowOff>97590</xdr:rowOff>
    </xdr:to>
    <xdr:sp macro="" textlink="">
      <xdr:nvSpPr>
        <xdr:cNvPr id="312" name="Right Triangle 311">
          <a:extLst>
            <a:ext uri="{FF2B5EF4-FFF2-40B4-BE49-F238E27FC236}">
              <a16:creationId xmlns:a16="http://schemas.microsoft.com/office/drawing/2014/main" id="{00000000-0008-0000-0100-000038010000}"/>
            </a:ext>
          </a:extLst>
        </xdr:cNvPr>
        <xdr:cNvSpPr/>
      </xdr:nvSpPr>
      <xdr:spPr>
        <a:xfrm flipH="1" flipV="1">
          <a:off x="6193452" y="42349287"/>
          <a:ext cx="7352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105</xdr:col>
      <xdr:colOff>300632</xdr:colOff>
      <xdr:row>10</xdr:row>
      <xdr:rowOff>60947</xdr:rowOff>
    </xdr:from>
    <xdr:ext cx="7252819" cy="815736"/>
    <xdr:sp macro="" textlink="">
      <xdr:nvSpPr>
        <xdr:cNvPr id="337" name="Rectangle 336">
          <a:extLst>
            <a:ext uri="{FF2B5EF4-FFF2-40B4-BE49-F238E27FC236}">
              <a16:creationId xmlns:a16="http://schemas.microsoft.com/office/drawing/2014/main" id="{00000000-0008-0000-0100-000051010000}"/>
            </a:ext>
          </a:extLst>
        </xdr:cNvPr>
        <xdr:cNvSpPr/>
      </xdr:nvSpPr>
      <xdr:spPr>
        <a:xfrm>
          <a:off x="32634832" y="2296147"/>
          <a:ext cx="7252819"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Massage your messaging</a:t>
          </a:r>
        </a:p>
      </xdr:txBody>
    </xdr:sp>
    <xdr:clientData/>
  </xdr:oneCellAnchor>
  <xdr:oneCellAnchor>
    <xdr:from>
      <xdr:col>95</xdr:col>
      <xdr:colOff>207643</xdr:colOff>
      <xdr:row>10</xdr:row>
      <xdr:rowOff>20480</xdr:rowOff>
    </xdr:from>
    <xdr:ext cx="6055504" cy="815736"/>
    <xdr:sp macro="" textlink="">
      <xdr:nvSpPr>
        <xdr:cNvPr id="338" name="Rectangle 337">
          <a:extLst>
            <a:ext uri="{FF2B5EF4-FFF2-40B4-BE49-F238E27FC236}">
              <a16:creationId xmlns:a16="http://schemas.microsoft.com/office/drawing/2014/main" id="{00000000-0008-0000-0100-000052010000}"/>
            </a:ext>
          </a:extLst>
        </xdr:cNvPr>
        <xdr:cNvSpPr/>
      </xdr:nvSpPr>
      <xdr:spPr>
        <a:xfrm>
          <a:off x="26445843" y="2255680"/>
          <a:ext cx="6055504"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Proactive messaging</a:t>
          </a:r>
        </a:p>
      </xdr:txBody>
    </xdr:sp>
    <xdr:clientData/>
  </xdr:oneCellAnchor>
  <xdr:oneCellAnchor>
    <xdr:from>
      <xdr:col>95</xdr:col>
      <xdr:colOff>199840</xdr:colOff>
      <xdr:row>16</xdr:row>
      <xdr:rowOff>172492</xdr:rowOff>
    </xdr:from>
    <xdr:ext cx="5969391" cy="815736"/>
    <xdr:sp macro="" textlink="">
      <xdr:nvSpPr>
        <xdr:cNvPr id="339" name="Rectangle 338">
          <a:extLst>
            <a:ext uri="{FF2B5EF4-FFF2-40B4-BE49-F238E27FC236}">
              <a16:creationId xmlns:a16="http://schemas.microsoft.com/office/drawing/2014/main" id="{00000000-0008-0000-0100-000053010000}"/>
            </a:ext>
          </a:extLst>
        </xdr:cNvPr>
        <xdr:cNvSpPr/>
      </xdr:nvSpPr>
      <xdr:spPr>
        <a:xfrm>
          <a:off x="26438040" y="3677692"/>
          <a:ext cx="5969391"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Inspire</a:t>
          </a:r>
          <a:r>
            <a:rPr lang="en-US" sz="4000" b="0" cap="none" spc="0" baseline="0">
              <a:ln w="0"/>
              <a:solidFill>
                <a:srgbClr val="411E5A"/>
              </a:solidFill>
              <a:effectLst>
                <a:outerShdw blurRad="38100" dist="19050" dir="2700000" algn="tl" rotWithShape="0">
                  <a:schemeClr val="dk1">
                    <a:alpha val="40000"/>
                  </a:schemeClr>
                </a:outerShdw>
              </a:effectLst>
              <a:latin typeface="Arial Black" panose="020B0A04020102020204" pitchFamily="34" charset="0"/>
            </a:rPr>
            <a:t> voter turnout</a:t>
          </a:r>
          <a:endPar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95</xdr:col>
      <xdr:colOff>222978</xdr:colOff>
      <xdr:row>22</xdr:row>
      <xdr:rowOff>153248</xdr:rowOff>
    </xdr:from>
    <xdr:ext cx="4259436" cy="815736"/>
    <xdr:sp macro="" textlink="">
      <xdr:nvSpPr>
        <xdr:cNvPr id="340" name="Rectangle 339">
          <a:extLst>
            <a:ext uri="{FF2B5EF4-FFF2-40B4-BE49-F238E27FC236}">
              <a16:creationId xmlns:a16="http://schemas.microsoft.com/office/drawing/2014/main" id="{00000000-0008-0000-0100-000054010000}"/>
            </a:ext>
          </a:extLst>
        </xdr:cNvPr>
        <xdr:cNvSpPr/>
      </xdr:nvSpPr>
      <xdr:spPr>
        <a:xfrm>
          <a:off x="26461178" y="5182448"/>
          <a:ext cx="4259436"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Attract donors</a:t>
          </a:r>
        </a:p>
      </xdr:txBody>
    </xdr:sp>
    <xdr:clientData/>
  </xdr:oneCellAnchor>
  <xdr:twoCellAnchor>
    <xdr:from>
      <xdr:col>23</xdr:col>
      <xdr:colOff>461210</xdr:colOff>
      <xdr:row>176</xdr:row>
      <xdr:rowOff>53474</xdr:rowOff>
    </xdr:from>
    <xdr:to>
      <xdr:col>26</xdr:col>
      <xdr:colOff>481262</xdr:colOff>
      <xdr:row>176</xdr:row>
      <xdr:rowOff>340895</xdr:rowOff>
    </xdr:to>
    <xdr:sp macro="" textlink="">
      <xdr:nvSpPr>
        <xdr:cNvPr id="385" name="Arrow: Left 384">
          <a:hlinkClick xmlns:r="http://schemas.openxmlformats.org/officeDocument/2006/relationships" r:id="rId2" tooltip="back to Harmony Politics tab"/>
          <a:extLst>
            <a:ext uri="{FF2B5EF4-FFF2-40B4-BE49-F238E27FC236}">
              <a16:creationId xmlns:a16="http://schemas.microsoft.com/office/drawing/2014/main" id="{00000000-0008-0000-0100-000081010000}"/>
            </a:ext>
          </a:extLst>
        </xdr:cNvPr>
        <xdr:cNvSpPr/>
      </xdr:nvSpPr>
      <xdr:spPr>
        <a:xfrm>
          <a:off x="10964110" y="25682074"/>
          <a:ext cx="1544052"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177</xdr:row>
      <xdr:rowOff>5348</xdr:rowOff>
    </xdr:from>
    <xdr:to>
      <xdr:col>27</xdr:col>
      <xdr:colOff>118976</xdr:colOff>
      <xdr:row>177</xdr:row>
      <xdr:rowOff>105611</xdr:rowOff>
    </xdr:to>
    <xdr:sp macro="" textlink="">
      <xdr:nvSpPr>
        <xdr:cNvPr id="386" name="Right Triangle 385">
          <a:extLst>
            <a:ext uri="{FF2B5EF4-FFF2-40B4-BE49-F238E27FC236}">
              <a16:creationId xmlns:a16="http://schemas.microsoft.com/office/drawing/2014/main" id="{00000000-0008-0000-0100-000082010000}"/>
            </a:ext>
          </a:extLst>
        </xdr:cNvPr>
        <xdr:cNvSpPr/>
      </xdr:nvSpPr>
      <xdr:spPr>
        <a:xfrm flipH="1" flipV="1">
          <a:off x="12580349" y="2601494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105</xdr:col>
      <xdr:colOff>105745</xdr:colOff>
      <xdr:row>79</xdr:row>
      <xdr:rowOff>180474</xdr:rowOff>
    </xdr:from>
    <xdr:to>
      <xdr:col>115</xdr:col>
      <xdr:colOff>38102</xdr:colOff>
      <xdr:row>86</xdr:row>
      <xdr:rowOff>216569</xdr:rowOff>
    </xdr:to>
    <xdr:sp macro="" textlink="">
      <xdr:nvSpPr>
        <xdr:cNvPr id="246" name="TextBox 245">
          <a:extLst>
            <a:ext uri="{FF2B5EF4-FFF2-40B4-BE49-F238E27FC236}">
              <a16:creationId xmlns:a16="http://schemas.microsoft.com/office/drawing/2014/main" id="{00000000-0008-0000-0100-0000F6000000}"/>
            </a:ext>
          </a:extLst>
        </xdr:cNvPr>
        <xdr:cNvSpPr txBox="1"/>
      </xdr:nvSpPr>
      <xdr:spPr>
        <a:xfrm>
          <a:off x="32439945" y="6225674"/>
          <a:ext cx="6028357" cy="18140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spcAft>
              <a:spcPts val="600"/>
            </a:spcAft>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Love seems to be the underappreciated answer</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Without </a:t>
          </a:r>
          <a:r>
            <a:rPr lang="en-US" sz="1200" b="0" baseline="0">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Harmony Politics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or something like it, political leaders and thought leaders grope mostly in the dark. They tend to perpetuate political generalizations filled with errors, as any generalization easily overlooks your specifics. Which fuels hate.</a:t>
          </a:r>
        </a:p>
        <a:p>
          <a:pPr>
            <a:spcBef>
              <a:spcPts val="600"/>
            </a:spcBef>
          </a:pPr>
          <a:r>
            <a:rPr lang="en-US" sz="1200" b="0" baseline="0">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Harmony Politics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hands you the tools these leaders need. Imagine how responsive you would be to a leader who finally listens and affirms to the needs across the political spectrum. Now imagine you being the change agent these leaders require to spread such harmonizing love. And now imagined being paid for it.</a:t>
          </a:r>
        </a:p>
      </xdr:txBody>
    </xdr:sp>
    <xdr:clientData/>
  </xdr:twoCellAnchor>
  <xdr:oneCellAnchor>
    <xdr:from>
      <xdr:col>0</xdr:col>
      <xdr:colOff>102728</xdr:colOff>
      <xdr:row>66</xdr:row>
      <xdr:rowOff>15054</xdr:rowOff>
    </xdr:from>
    <xdr:ext cx="5943600" cy="4175946"/>
    <xdr:sp macro="" textlink="">
      <xdr:nvSpPr>
        <xdr:cNvPr id="248" name="Rectangle 247">
          <a:extLst>
            <a:ext uri="{FF2B5EF4-FFF2-40B4-BE49-F238E27FC236}">
              <a16:creationId xmlns:a16="http://schemas.microsoft.com/office/drawing/2014/main" id="{00000000-0008-0000-0100-0000F8000000}"/>
            </a:ext>
          </a:extLst>
        </xdr:cNvPr>
        <xdr:cNvSpPr/>
      </xdr:nvSpPr>
      <xdr:spPr>
        <a:xfrm>
          <a:off x="102728" y="20101374"/>
          <a:ext cx="5943600" cy="4175946"/>
        </a:xfrm>
        <a:prstGeom prst="rect">
          <a:avLst/>
        </a:prstGeom>
        <a:noFill/>
      </xdr:spPr>
      <xdr:txBody>
        <a:bodyPr wrap="square" lIns="91440" tIns="45720" rIns="91440" bIns="4572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Harmony Politics aims...</a:t>
          </a:r>
        </a:p>
        <a:p>
          <a:pPr algn="l">
            <a:spcBef>
              <a:spcPts val="300"/>
            </a:spcBef>
            <a:spcAft>
              <a:spcPts val="300"/>
            </a:spcAft>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the counselor, recover</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any lost rapport with your client over political differences,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the counselor, to tap</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into your client's political views to better understand their sensitive needs,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unpack your</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own political views behind your risk for countertransference,</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100" b="0">
              <a:effectLst>
                <a:outerShdw blurRad="38100" dist="19050" dir="2700000" algn="tl" rotWithShape="0">
                  <a:schemeClr val="dk1">
                    <a:alpha val="40000"/>
                  </a:schemeClr>
                </a:outerShdw>
              </a:effectLst>
              <a:latin typeface="+mn-lt"/>
              <a:ea typeface="+mn-ea"/>
              <a:cs typeface="+mn-cs"/>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replace the agree-disagree</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political binary with the tools to relate to each other's different priority of inflexible needs,</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you inspire your client to proactively resolve the needs underscoring political differences,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invite you to apply</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this in a new kind of counseling called psychosociotherapy, and</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convert political differences to unifying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love.</a:t>
          </a:r>
          <a:endParaRPr lang="en-US" sz="1600" b="0" cap="none" spc="0">
            <a:ln w="0"/>
            <a:solidFill>
              <a:srgbClr val="1E5A28"/>
            </a:solidFill>
            <a:effectLst/>
            <a:latin typeface="Arial Black" panose="020B0A04020102020204" pitchFamily="34" charset="0"/>
          </a:endParaRPr>
        </a:p>
      </xdr:txBody>
    </xdr:sp>
    <xdr:clientData/>
  </xdr:oneCellAnchor>
  <xdr:twoCellAnchor>
    <xdr:from>
      <xdr:col>15</xdr:col>
      <xdr:colOff>24953</xdr:colOff>
      <xdr:row>700</xdr:row>
      <xdr:rowOff>7469</xdr:rowOff>
    </xdr:from>
    <xdr:to>
      <xdr:col>26</xdr:col>
      <xdr:colOff>162112</xdr:colOff>
      <xdr:row>702</xdr:row>
      <xdr:rowOff>141940</xdr:rowOff>
    </xdr:to>
    <xdr:sp macro="" textlink="">
      <xdr:nvSpPr>
        <xdr:cNvPr id="195" name="TextBox 194">
          <a:extLst>
            <a:ext uri="{FF2B5EF4-FFF2-40B4-BE49-F238E27FC236}">
              <a16:creationId xmlns:a16="http://schemas.microsoft.com/office/drawing/2014/main" id="{00000000-0008-0000-0100-0000C3000000}"/>
            </a:ext>
          </a:extLst>
        </xdr:cNvPr>
        <xdr:cNvSpPr txBox="1"/>
      </xdr:nvSpPr>
      <xdr:spPr>
        <a:xfrm>
          <a:off x="6367482" y="167654940"/>
          <a:ext cx="5642983" cy="642471"/>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800" b="1"/>
        </a:p>
        <a:p>
          <a:r>
            <a:rPr lang="en-US" sz="800" b="1"/>
            <a:t>Pies, R. </a:t>
          </a:r>
          <a:r>
            <a:rPr lang="en-US" sz="800" b="1">
              <a:solidFill>
                <a:schemeClr val="dk1"/>
              </a:solidFill>
              <a:latin typeface="+mn-lt"/>
              <a:ea typeface="+mn-ea"/>
              <a:cs typeface="+mn-cs"/>
            </a:rPr>
            <a:t>Culture Wars, COVID-19 and Countertransference. What America’s Cultural Rifts Might Mean for Psychiatry and Psychotherapy. </a:t>
          </a:r>
          <a:r>
            <a:rPr lang="en-US" sz="800" b="1"/>
            <a:t>https://pro.psychcentral.com/culture-wars-covid-19-and-countertransference. June 29, 2020. Accessed November 7, 2020.</a:t>
          </a:r>
        </a:p>
      </xdr:txBody>
    </xdr:sp>
    <xdr:clientData/>
  </xdr:twoCellAnchor>
  <xdr:twoCellAnchor>
    <xdr:from>
      <xdr:col>17</xdr:col>
      <xdr:colOff>327713</xdr:colOff>
      <xdr:row>731</xdr:row>
      <xdr:rowOff>68580</xdr:rowOff>
    </xdr:from>
    <xdr:to>
      <xdr:col>54</xdr:col>
      <xdr:colOff>426579</xdr:colOff>
      <xdr:row>742</xdr:row>
      <xdr:rowOff>167683</xdr:rowOff>
    </xdr:to>
    <xdr:grpSp>
      <xdr:nvGrpSpPr>
        <xdr:cNvPr id="30" name="Go deep &amp; connected" hidden="1">
          <a:extLst>
            <a:ext uri="{FF2B5EF4-FFF2-40B4-BE49-F238E27FC236}">
              <a16:creationId xmlns:a16="http://schemas.microsoft.com/office/drawing/2014/main" id="{00000000-0008-0000-0100-00001E000000}"/>
            </a:ext>
          </a:extLst>
        </xdr:cNvPr>
        <xdr:cNvGrpSpPr/>
      </xdr:nvGrpSpPr>
      <xdr:grpSpPr>
        <a:xfrm>
          <a:off x="6263640" y="173255940"/>
          <a:ext cx="18760299" cy="2026963"/>
          <a:chOff x="7955333" y="71879460"/>
          <a:chExt cx="6575866" cy="2026963"/>
        </a:xfrm>
      </xdr:grpSpPr>
      <xdr:grpSp>
        <xdr:nvGrpSpPr>
          <xdr:cNvPr id="26" name="Group 25">
            <a:extLst>
              <a:ext uri="{FF2B5EF4-FFF2-40B4-BE49-F238E27FC236}">
                <a16:creationId xmlns:a16="http://schemas.microsoft.com/office/drawing/2014/main" id="{00000000-0008-0000-0100-00001A000000}"/>
              </a:ext>
            </a:extLst>
          </xdr:cNvPr>
          <xdr:cNvGrpSpPr/>
        </xdr:nvGrpSpPr>
        <xdr:grpSpPr>
          <a:xfrm>
            <a:off x="8039100" y="72069956"/>
            <a:ext cx="6400800" cy="1836467"/>
            <a:chOff x="8039100" y="72073619"/>
            <a:chExt cx="4572000" cy="948841"/>
          </a:xfrm>
        </xdr:grpSpPr>
        <xdr:sp macro="" textlink="">
          <xdr:nvSpPr>
            <xdr:cNvPr id="17" name="Rectangle: Top Corners Rounded 16">
              <a:extLst>
                <a:ext uri="{FF2B5EF4-FFF2-40B4-BE49-F238E27FC236}">
                  <a16:creationId xmlns:a16="http://schemas.microsoft.com/office/drawing/2014/main" id="{00000000-0008-0000-0100-000011000000}"/>
                </a:ext>
              </a:extLst>
            </xdr:cNvPr>
            <xdr:cNvSpPr/>
          </xdr:nvSpPr>
          <xdr:spPr>
            <a:xfrm flipV="1">
              <a:off x="8039100" y="72108060"/>
              <a:ext cx="4572000" cy="91440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25" name="Rectangle 24">
              <a:extLst>
                <a:ext uri="{FF2B5EF4-FFF2-40B4-BE49-F238E27FC236}">
                  <a16:creationId xmlns:a16="http://schemas.microsoft.com/office/drawing/2014/main" id="{00000000-0008-0000-0100-000019000000}"/>
                </a:ext>
              </a:extLst>
            </xdr:cNvPr>
            <xdr:cNvSpPr/>
          </xdr:nvSpPr>
          <xdr:spPr>
            <a:xfrm>
              <a:off x="8058694" y="72073619"/>
              <a:ext cx="4532811" cy="1220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27" name="Arrow: Left-Right 26">
            <a:extLst>
              <a:ext uri="{FF2B5EF4-FFF2-40B4-BE49-F238E27FC236}">
                <a16:creationId xmlns:a16="http://schemas.microsoft.com/office/drawing/2014/main" id="{00000000-0008-0000-0100-00001B000000}"/>
              </a:ext>
            </a:extLst>
          </xdr:cNvPr>
          <xdr:cNvSpPr/>
        </xdr:nvSpPr>
        <xdr:spPr>
          <a:xfrm>
            <a:off x="8176260" y="72085200"/>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FF5050"/>
              </a:gs>
              <a:gs pos="100000">
                <a:srgbClr val="FF5050"/>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18288" rIns="0" bIns="0" rtlCol="0" anchor="t"/>
          <a:lstStyle/>
          <a:p>
            <a:pPr algn="ctr"/>
            <a:r>
              <a:rPr lang="en-US" sz="1100" b="1">
                <a:solidFill>
                  <a:schemeClr val="bg1"/>
                </a:solidFill>
                <a:latin typeface="Arial Narrow" panose="020B0606020202030204" pitchFamily="34" charset="0"/>
              </a:rPr>
              <a:t>The agree-disagree</a:t>
            </a:r>
            <a:r>
              <a:rPr lang="en-US" sz="1100" b="1" baseline="0">
                <a:solidFill>
                  <a:schemeClr val="bg1"/>
                </a:solidFill>
                <a:latin typeface="Arial Narrow" panose="020B0606020202030204" pitchFamily="34" charset="0"/>
              </a:rPr>
              <a:t> binary correlates more with pain-easing vacillation than need-resolving integration</a:t>
            </a:r>
            <a:endParaRPr lang="en-US" sz="1100" b="1">
              <a:solidFill>
                <a:schemeClr val="bg1"/>
              </a:solidFill>
              <a:latin typeface="Arial Narrow" panose="020B0606020202030204" pitchFamily="34" charset="0"/>
            </a:endParaRPr>
          </a:p>
        </xdr:txBody>
      </xdr:sp>
      <xdr:sp macro="" textlink="">
        <xdr:nvSpPr>
          <xdr:cNvPr id="28" name="TextBox 27">
            <a:extLst>
              <a:ext uri="{FF2B5EF4-FFF2-40B4-BE49-F238E27FC236}">
                <a16:creationId xmlns:a16="http://schemas.microsoft.com/office/drawing/2014/main" id="{00000000-0008-0000-0100-00001C000000}"/>
              </a:ext>
            </a:extLst>
          </xdr:cNvPr>
          <xdr:cNvSpPr txBox="1"/>
        </xdr:nvSpPr>
        <xdr:spPr>
          <a:xfrm>
            <a:off x="8450580" y="71879460"/>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8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245" name="TextBox 244">
            <a:extLst>
              <a:ext uri="{FF2B5EF4-FFF2-40B4-BE49-F238E27FC236}">
                <a16:creationId xmlns:a16="http://schemas.microsoft.com/office/drawing/2014/main" id="{00000000-0008-0000-0100-0000F5000000}"/>
              </a:ext>
            </a:extLst>
          </xdr:cNvPr>
          <xdr:cNvSpPr txBox="1"/>
        </xdr:nvSpPr>
        <xdr:spPr>
          <a:xfrm>
            <a:off x="8061960" y="73533000"/>
            <a:ext cx="636270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000" b="1">
                <a:ln>
                  <a:solidFill>
                    <a:srgbClr val="1EFF7D"/>
                  </a:solidFill>
                </a:ln>
                <a:solidFill>
                  <a:srgbClr val="1EFF7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sp macro="" textlink="">
        <xdr:nvSpPr>
          <xdr:cNvPr id="29" name="Arrow: Right 28">
            <a:extLst>
              <a:ext uri="{FF2B5EF4-FFF2-40B4-BE49-F238E27FC236}">
                <a16:creationId xmlns:a16="http://schemas.microsoft.com/office/drawing/2014/main" id="{00000000-0008-0000-0100-00001D000000}"/>
              </a:ext>
            </a:extLst>
          </xdr:cNvPr>
          <xdr:cNvSpPr/>
        </xdr:nvSpPr>
        <xdr:spPr>
          <a:xfrm rot="1118158">
            <a:off x="7955333" y="72812616"/>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251" name="Arrow: Right 250">
            <a:extLst>
              <a:ext uri="{FF2B5EF4-FFF2-40B4-BE49-F238E27FC236}">
                <a16:creationId xmlns:a16="http://schemas.microsoft.com/office/drawing/2014/main" id="{00000000-0008-0000-0100-0000FB000000}"/>
              </a:ext>
            </a:extLst>
          </xdr:cNvPr>
          <xdr:cNvSpPr/>
        </xdr:nvSpPr>
        <xdr:spPr>
          <a:xfrm rot="20481842" flipH="1">
            <a:off x="11193639" y="72814412"/>
            <a:ext cx="3337560" cy="411480"/>
          </a:xfrm>
          <a:prstGeom prst="rightArrow">
            <a:avLst>
              <a:gd name="adj1" fmla="val 50000"/>
              <a:gd name="adj2" fmla="val 105556"/>
            </a:avLst>
          </a:prstGeom>
          <a:gradFill>
            <a:gsLst>
              <a:gs pos="50000">
                <a:srgbClr val="D9038B"/>
              </a:gs>
              <a:gs pos="0">
                <a:srgbClr val="FF0000"/>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a:latin typeface="Arial Narrow" panose="020B0606020202030204" pitchFamily="34" charset="0"/>
              </a:rPr>
              <a:t>identify</a:t>
            </a:r>
            <a:r>
              <a:rPr lang="en-US" sz="1100" b="1" baseline="0">
                <a:latin typeface="Arial Narrow" panose="020B0606020202030204" pitchFamily="34" charset="0"/>
              </a:rPr>
              <a:t> and address conservative prioritized needs</a:t>
            </a:r>
            <a:endParaRPr lang="en-US" sz="1100" b="1">
              <a:latin typeface="Arial Narrow" panose="020B0606020202030204" pitchFamily="34" charset="0"/>
            </a:endParaRPr>
          </a:p>
        </xdr:txBody>
      </xdr:sp>
    </xdr:grpSp>
    <xdr:clientData/>
  </xdr:twoCellAnchor>
  <xdr:twoCellAnchor>
    <xdr:from>
      <xdr:col>15</xdr:col>
      <xdr:colOff>23257</xdr:colOff>
      <xdr:row>702</xdr:row>
      <xdr:rowOff>144233</xdr:rowOff>
    </xdr:from>
    <xdr:to>
      <xdr:col>26</xdr:col>
      <xdr:colOff>169731</xdr:colOff>
      <xdr:row>703</xdr:row>
      <xdr:rowOff>261471</xdr:rowOff>
    </xdr:to>
    <xdr:sp macro="" textlink="">
      <xdr:nvSpPr>
        <xdr:cNvPr id="377" name="TextBox 376">
          <a:extLst>
            <a:ext uri="{FF2B5EF4-FFF2-40B4-BE49-F238E27FC236}">
              <a16:creationId xmlns:a16="http://schemas.microsoft.com/office/drawing/2014/main" id="{00000000-0008-0000-0100-000079010000}"/>
            </a:ext>
          </a:extLst>
        </xdr:cNvPr>
        <xdr:cNvSpPr txBox="1"/>
      </xdr:nvSpPr>
      <xdr:spPr>
        <a:xfrm>
          <a:off x="6365786" y="167746880"/>
          <a:ext cx="5652298" cy="371238"/>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Haidt, J. (2013). </a:t>
          </a:r>
          <a:r>
            <a:rPr lang="en-US" sz="800" b="1" i="1"/>
            <a:t>The righteous mind</a:t>
          </a:r>
          <a:r>
            <a:rPr lang="en-US" sz="800" b="1"/>
            <a:t>. Penguin Books.</a:t>
          </a:r>
        </a:p>
      </xdr:txBody>
    </xdr:sp>
    <xdr:clientData/>
  </xdr:twoCellAnchor>
  <xdr:twoCellAnchor>
    <xdr:from>
      <xdr:col>15</xdr:col>
      <xdr:colOff>9504</xdr:colOff>
      <xdr:row>90</xdr:row>
      <xdr:rowOff>135464</xdr:rowOff>
    </xdr:from>
    <xdr:to>
      <xdr:col>26</xdr:col>
      <xdr:colOff>458237</xdr:colOff>
      <xdr:row>94</xdr:row>
      <xdr:rowOff>144779</xdr:rowOff>
    </xdr:to>
    <xdr:sp macro="" textlink="">
      <xdr:nvSpPr>
        <xdr:cNvPr id="459" name="TextBox 458">
          <a:extLst>
            <a:ext uri="{FF2B5EF4-FFF2-40B4-BE49-F238E27FC236}">
              <a16:creationId xmlns:a16="http://schemas.microsoft.com/office/drawing/2014/main" id="{00000000-0008-0000-0100-0000CB010000}"/>
            </a:ext>
          </a:extLst>
        </xdr:cNvPr>
        <xdr:cNvSpPr txBox="1"/>
      </xdr:nvSpPr>
      <xdr:spPr>
        <a:xfrm>
          <a:off x="6387444" y="25906304"/>
          <a:ext cx="5980853" cy="1053255"/>
        </a:xfrm>
        <a:prstGeom prst="rect">
          <a:avLst/>
        </a:prstGeom>
        <a:solidFill>
          <a:srgbClr val="F0CD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baseline="0">
              <a:solidFill>
                <a:schemeClr val="dk1"/>
              </a:solidFill>
              <a:latin typeface="Cambria" panose="02040503050406030204" pitchFamily="18" charset="0"/>
              <a:ea typeface="Cambria" panose="02040503050406030204" pitchFamily="18" charset="0"/>
              <a:cs typeface="+mn-cs"/>
            </a:rPr>
            <a:t>Your client's political outlook </a:t>
          </a:r>
          <a:r>
            <a:rPr lang="en-US" sz="1200" baseline="0">
              <a:solidFill>
                <a:schemeClr val="dk1"/>
              </a:solidFill>
              <a:latin typeface="Cambria" panose="02040503050406030204" pitchFamily="18" charset="0"/>
              <a:ea typeface="Cambria" panose="02040503050406030204" pitchFamily="18" charset="0"/>
              <a:cs typeface="+mn-cs"/>
            </a:rPr>
            <a:t>inevitably slips into the therapeutic process. Perhaps you prefer to avoid political differences. But your client relies on politics to convey their publicly affected needs. Those needs are not being met, so they now come to you. How you handle this opportunity correlates with how well you can help your client. And if you can retain your client. </a:t>
          </a:r>
        </a:p>
      </xdr:txBody>
    </xdr:sp>
    <xdr:clientData/>
  </xdr:twoCellAnchor>
  <xdr:twoCellAnchor>
    <xdr:from>
      <xdr:col>15</xdr:col>
      <xdr:colOff>110856</xdr:colOff>
      <xdr:row>127</xdr:row>
      <xdr:rowOff>172718</xdr:rowOff>
    </xdr:from>
    <xdr:to>
      <xdr:col>26</xdr:col>
      <xdr:colOff>474133</xdr:colOff>
      <xdr:row>160</xdr:row>
      <xdr:rowOff>121920</xdr:rowOff>
    </xdr:to>
    <xdr:sp macro="" textlink="">
      <xdr:nvSpPr>
        <xdr:cNvPr id="462" name="TextBox 461">
          <a:extLst>
            <a:ext uri="{FF2B5EF4-FFF2-40B4-BE49-F238E27FC236}">
              <a16:creationId xmlns:a16="http://schemas.microsoft.com/office/drawing/2014/main" id="{00000000-0008-0000-0100-0000CE010000}"/>
            </a:ext>
          </a:extLst>
        </xdr:cNvPr>
        <xdr:cNvSpPr txBox="1"/>
      </xdr:nvSpPr>
      <xdr:spPr>
        <a:xfrm>
          <a:off x="6488796" y="34470338"/>
          <a:ext cx="5895397" cy="7462522"/>
        </a:xfrm>
        <a:prstGeom prst="rect">
          <a:avLst/>
        </a:prstGeom>
        <a:solidFill>
          <a:srgbClr val="F0CD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ambria" panose="02040503050406030204" pitchFamily="18" charset="0"/>
              <a:ea typeface="Cambria" panose="02040503050406030204" pitchFamily="18" charset="0"/>
            </a:rPr>
            <a:t>Your client can</a:t>
          </a:r>
          <a:r>
            <a:rPr lang="en-US" sz="1200" b="1" baseline="0">
              <a:latin typeface="Cambria" panose="02040503050406030204" pitchFamily="18" charset="0"/>
              <a:ea typeface="Cambria" panose="02040503050406030204" pitchFamily="18" charset="0"/>
            </a:rPr>
            <a:t> have political views </a:t>
          </a:r>
          <a:r>
            <a:rPr lang="en-US" sz="1200" baseline="0">
              <a:latin typeface="Cambria" panose="02040503050406030204" pitchFamily="18" charset="0"/>
              <a:ea typeface="Cambria" panose="02040503050406030204" pitchFamily="18" charset="0"/>
            </a:rPr>
            <a:t>sharply divergent from yours without undermining the therapeutic process. Ideally. As long as you recognized the many limits in p</a:t>
          </a:r>
          <a:r>
            <a:rPr lang="en-US" sz="1200">
              <a:latin typeface="Cambria" panose="02040503050406030204" pitchFamily="18" charset="0"/>
              <a:ea typeface="Cambria" panose="02040503050406030204" pitchFamily="18" charset="0"/>
            </a:rPr>
            <a:t>opular politics. Your</a:t>
          </a:r>
          <a:r>
            <a:rPr lang="en-US" sz="1200" baseline="0">
              <a:latin typeface="Cambria" panose="02040503050406030204" pitchFamily="18" charset="0"/>
              <a:ea typeface="Cambria" panose="02040503050406030204" pitchFamily="18" charset="0"/>
            </a:rPr>
            <a:t> client's political views can serve as stepping stones for deeper understanding, or stumbling blocks to any meaningful therapy. This tool breaks down the difference.</a:t>
          </a:r>
        </a:p>
        <a:p>
          <a:endParaRPr lang="en-US" sz="120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For starters, politics provide</a:t>
          </a:r>
          <a:r>
            <a:rPr lang="en-US" sz="1200" baseline="0">
              <a:latin typeface="Cambria" panose="02040503050406030204" pitchFamily="18" charset="0"/>
              <a:ea typeface="Cambria" panose="02040503050406030204" pitchFamily="18" charset="0"/>
            </a:rPr>
            <a:t>s you and your clients a popular way to convey your affected priority of needs. If you expect your client to experience the same priority of needs as you, and your client </a:t>
          </a:r>
          <a:r>
            <a:rPr lang="en-US" sz="1200">
              <a:latin typeface="Cambria" panose="02040503050406030204" pitchFamily="18" charset="0"/>
              <a:ea typeface="Cambria" panose="02040503050406030204" pitchFamily="18" charset="0"/>
            </a:rPr>
            <a:t>expresses [opposing/similar] political views,</a:t>
          </a:r>
          <a:r>
            <a:rPr lang="en-US" sz="1200" baseline="0">
              <a:latin typeface="Cambria" panose="02040503050406030204" pitchFamily="18" charset="0"/>
              <a:ea typeface="Cambria" panose="02040503050406030204" pitchFamily="18" charset="0"/>
            </a:rPr>
            <a:t> you risk </a:t>
          </a:r>
          <a:r>
            <a:rPr lang="en-US" sz="1200" b="1" i="1" baseline="0">
              <a:latin typeface="Cambria" panose="02040503050406030204" pitchFamily="18" charset="0"/>
              <a:ea typeface="Cambria" panose="02040503050406030204" pitchFamily="18" charset="0"/>
            </a:rPr>
            <a:t>countertransference</a:t>
          </a:r>
          <a:r>
            <a:rPr lang="en-US" sz="1200" baseline="0">
              <a:latin typeface="Cambria" panose="02040503050406030204" pitchFamily="18" charset="0"/>
              <a:ea typeface="Cambria" panose="02040503050406030204" pitchFamily="18" charset="0"/>
            </a:rPr>
            <a:t>. You risk rejecting your client, who may then reject you.</a:t>
          </a:r>
        </a:p>
        <a:p>
          <a:endParaRPr lang="en-US" sz="1200" baseline="0">
            <a:latin typeface="Arial Narrow" panose="020B0606020202030204" pitchFamily="34" charset="0"/>
          </a:endParaRPr>
        </a:p>
        <a:p>
          <a:r>
            <a:rPr lang="en-US" sz="1600" b="1" baseline="0">
              <a:latin typeface="Arial Narrow" panose="020B0606020202030204" pitchFamily="34" charset="0"/>
            </a:rPr>
            <a:t>Your client risks your rejection</a:t>
          </a:r>
          <a:r>
            <a:rPr lang="en-US" sz="1600" baseline="0">
              <a:latin typeface="Arial Narrow" panose="020B0606020202030204" pitchFamily="34" charset="0"/>
            </a:rPr>
            <a:t>. </a:t>
          </a:r>
        </a:p>
        <a:p>
          <a:r>
            <a:rPr lang="en-US" sz="1200" baseline="0">
              <a:latin typeface="Cambria" panose="02040503050406030204" pitchFamily="18" charset="0"/>
              <a:ea typeface="Cambria" panose="02040503050406030204" pitchFamily="18" charset="0"/>
            </a:rPr>
            <a:t>You probably do not think of political disagreement as rejection. But the more their needs tie into their [ISSUE/political]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a:t>
          </a:r>
        </a:p>
        <a:p>
          <a:endParaRPr lang="en-US" sz="1200" baseline="0">
            <a:latin typeface="Arial Narrow" panose="020B0606020202030204" pitchFamily="34" charset="0"/>
          </a:endParaRPr>
        </a:p>
        <a:p>
          <a:r>
            <a:rPr lang="en-US" sz="1600" b="1" baseline="0">
              <a:latin typeface="Arial Narrow" panose="020B0606020202030204" pitchFamily="34" charset="0"/>
            </a:rPr>
            <a:t>You risk losing the client</a:t>
          </a:r>
          <a:r>
            <a:rPr lang="en-US" sz="1600" baseline="0">
              <a:latin typeface="Arial Narrow" panose="020B0606020202030204" pitchFamily="34" charset="0"/>
            </a:rPr>
            <a:t>. </a:t>
          </a:r>
        </a:p>
        <a:p>
          <a:r>
            <a:rPr lang="en-US" sz="1200" baseline="0">
              <a:latin typeface="Cambria" panose="02040503050406030204" pitchFamily="18" charset="0"/>
              <a:ea typeface="Cambria" panose="02040503050406030204" pitchFamily="18" charset="0"/>
            </a:rPr>
            <a:t>After building up rapport with your client, your client may drop their guard to express their political views on some issue. Perhaps transference emerges, as they project their political angst onto you. If reacting with countertransference by instantly disagreeing (or agreeing) with your client's political views, because it emotionally elicits your vulnerable needs, you risk undermining the therapeutic alliance. Your elicited needs easily distracts full attention to their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If clinging to the notion that politics is based on rational agreements, you may unconsciously expect your client to link their thinking with yours on [ISSUE/the raised political issue]. If you seem to threaten their trusted political way to cope with their [ISSUE]-related needs, your client may suddenly cancel any further sessions.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could become disillusioned with therapy itself. They may see it as hopelessly partisan.</a:t>
          </a:r>
          <a:r>
            <a:rPr lang="en-US" sz="1200" baseline="30000">
              <a:latin typeface="Cambria" panose="02040503050406030204" pitchFamily="18" charset="0"/>
              <a:ea typeface="Cambria" panose="02040503050406030204" pitchFamily="18" charset="0"/>
            </a:rPr>
            <a:t>1</a:t>
          </a:r>
          <a:r>
            <a:rPr lang="en-US" sz="1200" baseline="0">
              <a:latin typeface="Cambria" panose="02040503050406030204" pitchFamily="18" charset="0"/>
              <a:ea typeface="Cambria" panose="02040503050406030204" pitchFamily="18" charset="0"/>
            </a:rPr>
            <a:t> They likely will warn others not to see you. You then risk your professional reputation. </a:t>
          </a:r>
        </a:p>
        <a:p>
          <a:endParaRPr lang="en-US" sz="1200" baseline="0">
            <a:latin typeface="Cambria" panose="02040503050406030204" pitchFamily="18" charset="0"/>
            <a:ea typeface="Cambria" panose="02040503050406030204" pitchFamily="18" charset="0"/>
          </a:endParaRPr>
        </a:p>
        <a:p>
          <a:r>
            <a:rPr lang="en-US" sz="1200" b="1" baseline="0">
              <a:latin typeface="Cambria" panose="02040503050406030204" pitchFamily="18" charset="0"/>
              <a:ea typeface="Cambria" panose="02040503050406030204" pitchFamily="18" charset="0"/>
            </a:rPr>
            <a:t>Harmony Politics </a:t>
          </a:r>
          <a:r>
            <a:rPr lang="en-US" sz="1200" baseline="0">
              <a:latin typeface="Cambria" panose="02040503050406030204" pitchFamily="18" charset="0"/>
              <a:ea typeface="Cambria" panose="02040503050406030204" pitchFamily="18" charset="0"/>
            </a:rPr>
            <a:t>turns popular politics on its head. It rethinks politics as a way for you to relate to your clients' needs, in at least three ways.</a:t>
          </a:r>
          <a:endParaRPr lang="en-US" sz="1200">
            <a:latin typeface="Cambria" panose="02040503050406030204" pitchFamily="18" charset="0"/>
            <a:ea typeface="Cambria" panose="02040503050406030204" pitchFamily="18" charset="0"/>
          </a:endParaRPr>
        </a:p>
      </xdr:txBody>
    </xdr:sp>
    <xdr:clientData/>
  </xdr:twoCellAnchor>
  <xdr:twoCellAnchor>
    <xdr:from>
      <xdr:col>15</xdr:col>
      <xdr:colOff>83818</xdr:colOff>
      <xdr:row>242</xdr:row>
      <xdr:rowOff>87205</xdr:rowOff>
    </xdr:from>
    <xdr:to>
      <xdr:col>26</xdr:col>
      <xdr:colOff>495298</xdr:colOff>
      <xdr:row>264</xdr:row>
      <xdr:rowOff>160020</xdr:rowOff>
    </xdr:to>
    <xdr:sp macro="" textlink="">
      <xdr:nvSpPr>
        <xdr:cNvPr id="467" name="Text Box 16">
          <a:extLst>
            <a:ext uri="{FF2B5EF4-FFF2-40B4-BE49-F238E27FC236}">
              <a16:creationId xmlns:a16="http://schemas.microsoft.com/office/drawing/2014/main" id="{00000000-0008-0000-0100-0000D3010000}"/>
            </a:ext>
          </a:extLst>
        </xdr:cNvPr>
        <xdr:cNvSpPr txBox="1"/>
      </xdr:nvSpPr>
      <xdr:spPr>
        <a:xfrm>
          <a:off x="6461758" y="60109945"/>
          <a:ext cx="5943600" cy="5094395"/>
        </a:xfrm>
        <a:prstGeom prst="rect">
          <a:avLst/>
        </a:prstGeom>
        <a:solidFill>
          <a:srgbClr val="FFCCFF"/>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Politics is largely a contest around generalizations. [Each/ISSUE] issue starts with the generalization of pitting [one side/STANCE] against [the other/STANCE]. Helping your client see</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beyond this overgeneralizing binary can free them from viewing the other political side as some mortal enemy. You help them see unresolved needs on all sides exists as a their specific foe.</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 </a:t>
          </a: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[ISSUE]-politics pits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a:t>
          </a:r>
          <a:r>
            <a:rPr lang="en-US" sz="1200">
              <a:effectLst/>
              <a:latin typeface="Cambria" panose="02040503050406030204" pitchFamily="18" charset="0"/>
              <a:ea typeface="Cambria" panose="02040503050406030204" pitchFamily="18" charset="0"/>
              <a:cs typeface="Times New Roman" panose="02020603050405020304" pitchFamily="18" charset="0"/>
            </a:rPr>
            <a:t>[W/D FOCUS] against [D/W FOCUS].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Your clients psychosocial orientation compels them to priortize the [ISSUE]-affected needs of [W/D NEED] over the [ISSUE]-affected needs of [D/W NEED].</a:t>
          </a:r>
          <a:r>
            <a:rPr lang="en-US" sz="1200">
              <a:effectLst/>
              <a:latin typeface="Cambria" panose="02040503050406030204" pitchFamily="18" charset="0"/>
              <a:ea typeface="Cambria" panose="02040503050406030204" pitchFamily="18" charset="0"/>
              <a:cs typeface="Times New Roman" panose="02020603050405020304" pitchFamily="18" charset="0"/>
            </a:rPr>
            <a:t> This positions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each other's </a:t>
          </a:r>
          <a:r>
            <a:rPr lang="en-US" sz="1200">
              <a:effectLst/>
              <a:latin typeface="Cambria" panose="02040503050406030204" pitchFamily="18" charset="0"/>
              <a:ea typeface="Cambria" panose="02040503050406030204" pitchFamily="18" charset="0"/>
              <a:cs typeface="Times New Roman" panose="02020603050405020304" pitchFamily="18" charset="0"/>
            </a:rPr>
            <a:t>priority of publicly affected needs against each</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other</a:t>
          </a:r>
          <a:r>
            <a:rPr lang="en-US" sz="1200">
              <a:effectLst/>
              <a:latin typeface="Cambria" panose="02040503050406030204" pitchFamily="18" charset="0"/>
              <a:ea typeface="Cambria" panose="02040503050406030204" pitchFamily="18" charset="0"/>
              <a:cs typeface="Times New Roman" panose="02020603050405020304" pitchFamily="18" charset="0"/>
            </a:rPr>
            <a:t>. It is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about one group generalizing their [ISSUE]-related needs as the only standard for society, which disrespects the different [ISSUE]-related needs of others. This always exposes a structural error.</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 </a:t>
          </a: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It is an overgeneralization to expect society to officially side with one priority over the other. These competing needs emerge as an arbitrary artifact of culture. If humanity always sided with the needs of [W/D NEED] against the needs of [D/W NEED], or with the needs of [D/W NEED] against the needs of [W/D NEED], there would be no humanity. This division is more of a structural </a:t>
          </a:r>
          <a:r>
            <a:rPr lang="en-US" sz="1200" baseline="0">
              <a:effectLst/>
              <a:latin typeface="Cambria" panose="02040503050406030204" pitchFamily="18" charset="0"/>
              <a:ea typeface="Cambria" panose="02040503050406030204" pitchFamily="18" charset="0"/>
              <a:cs typeface="Times New Roman" panose="02020603050405020304" pitchFamily="18" charset="0"/>
            </a:rPr>
            <a:t>problem, beyond the scope of traditional psychotherapy.</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Our challenge, as helping</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professionals, is to help each individual resolve their needs in sync with others resolving theirs. That requires letting go of each other's pain-relieving generalizations. To turn opposing political views on [ISSUE] into specific steps for resolving [ISSUE]-related needs, starting with your client's [ISSUE]-related needs. Welcome to Harmony Politics, the antidote to the divisiveness of popular politics. And a free tool for you to retain your ideologically diverse clients.</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twoCellAnchor>
    <xdr:from>
      <xdr:col>15</xdr:col>
      <xdr:colOff>45719</xdr:colOff>
      <xdr:row>165</xdr:row>
      <xdr:rowOff>114300</xdr:rowOff>
    </xdr:from>
    <xdr:to>
      <xdr:col>26</xdr:col>
      <xdr:colOff>457199</xdr:colOff>
      <xdr:row>193</xdr:row>
      <xdr:rowOff>60960</xdr:rowOff>
    </xdr:to>
    <xdr:sp macro="" textlink="">
      <xdr:nvSpPr>
        <xdr:cNvPr id="468" name="TextBox 467">
          <a:extLst>
            <a:ext uri="{FF2B5EF4-FFF2-40B4-BE49-F238E27FC236}">
              <a16:creationId xmlns:a16="http://schemas.microsoft.com/office/drawing/2014/main" id="{00000000-0008-0000-0100-0000D4010000}"/>
            </a:ext>
          </a:extLst>
        </xdr:cNvPr>
        <xdr:cNvSpPr txBox="1"/>
      </xdr:nvSpPr>
      <xdr:spPr>
        <a:xfrm>
          <a:off x="6423659" y="43106340"/>
          <a:ext cx="5943600" cy="58064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As a counselor,</a:t>
          </a:r>
          <a:r>
            <a:rPr lang="en-US" sz="1200" baseline="0">
              <a:latin typeface="Cambria" panose="02040503050406030204" pitchFamily="18" charset="0"/>
              <a:ea typeface="Cambria" panose="02040503050406030204" pitchFamily="18" charset="0"/>
            </a:rPr>
            <a:t> you can now understand how your client experiences [Covid]-related challenges like [isolation] and [stress] through the lens of their prioritized needs. Think of their political views as a helpful window into their priority of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First, let go of the popular yet overgeneralized notion that we rationally choose our political beliefs. Jonathan Haidt</a:t>
          </a:r>
          <a:r>
            <a:rPr lang="en-US" sz="1200" baseline="30000">
              <a:latin typeface="Cambria" panose="02040503050406030204" pitchFamily="18" charset="0"/>
              <a:ea typeface="Cambria" panose="02040503050406030204" pitchFamily="18" charset="0"/>
            </a:rPr>
            <a:t>1</a:t>
          </a:r>
          <a:r>
            <a:rPr lang="en-US" sz="1200" baseline="0">
              <a:latin typeface="Cambria" panose="02040503050406030204" pitchFamily="18" charset="0"/>
              <a:ea typeface="Cambria" panose="02040503050406030204" pitchFamily="18" charset="0"/>
            </a:rPr>
            <a:t> is one among many to debunk this popular view. The prioritizing needs come first. Political beliefs attach to give expression to these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 gravitate to certain political beliefs because they serve your particular set of needs. Now you can relate to the particular set of needs of others expressed by beliefs different from your own, including your clients. Your political beliefs about [ISSUE] serve your specific needs. Your client likey has a different experience of needs around [ISSUE]. You understand their experience of [ISSUE]-related needs through their political views. You leave notions of rational choice at the door. </a:t>
          </a:r>
        </a:p>
        <a:p>
          <a:endParaRPr lang="en-US" sz="1200" baseline="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The new social science of anankelogy, the study of need, provides you a</a:t>
          </a:r>
          <a:r>
            <a:rPr lang="en-US" sz="1200" baseline="0">
              <a:latin typeface="Cambria" panose="02040503050406030204" pitchFamily="18" charset="0"/>
              <a:ea typeface="Cambria" panose="02040503050406030204" pitchFamily="18" charset="0"/>
            </a:rPr>
            <a:t> robust understanding of politics as a way to agree on support to ease shared needs. According to anankelogy, politics is the art of generalizing how to agreeably address needs in different situations. Urban situations tend to create a different priority of needs than rural situations.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Anankelogy appreciates politics as the outward expression of an inward psychosocial orientation. Needs come first, their expression in politics arrives later. If more of your self-needs resolve than your social-needs, because of your life situation, you tend to have a wide-orientation</a:t>
          </a:r>
          <a:r>
            <a:rPr lang="en-US" sz="1200" baseline="0">
              <a:solidFill>
                <a:schemeClr val="dk1"/>
              </a:solidFill>
              <a:latin typeface="Cambria" panose="02040503050406030204" pitchFamily="18" charset="0"/>
              <a:ea typeface="Cambria" panose="02040503050406030204" pitchFamily="18" charset="0"/>
              <a:cs typeface="+mn-cs"/>
            </a:rPr>
            <a:t>. You express your prioritized needs with liberalism. If more of your social-needs resolve than your self-needs, because of your situation, you tend to have a deep-orientation. You express your prioritized needs with conserva</a:t>
          </a:r>
          <a:r>
            <a:rPr lang="en-US" sz="1200" baseline="0">
              <a:latin typeface="Cambria" panose="02040503050406030204" pitchFamily="18" charset="0"/>
              <a:ea typeface="Cambria" panose="02040503050406030204" pitchFamily="18" charset="0"/>
            </a:rPr>
            <a:t>tism.</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typically divides between a side accommodating self-needs prioritizing over social-needs and a side accommodating social-needs prioritizing over self-needs. Learn more about this psychosocial orientation in the HP tab.</a:t>
          </a:r>
          <a:endParaRPr lang="en-US" sz="1200">
            <a:latin typeface="Cambria" panose="02040503050406030204" pitchFamily="18" charset="0"/>
            <a:ea typeface="Cambria" panose="02040503050406030204" pitchFamily="18" charset="0"/>
          </a:endParaRPr>
        </a:p>
      </xdr:txBody>
    </xdr:sp>
    <xdr:clientData/>
  </xdr:twoCellAnchor>
  <xdr:twoCellAnchor>
    <xdr:from>
      <xdr:col>15</xdr:col>
      <xdr:colOff>30479</xdr:colOff>
      <xdr:row>205</xdr:row>
      <xdr:rowOff>112489</xdr:rowOff>
    </xdr:from>
    <xdr:to>
      <xdr:col>26</xdr:col>
      <xdr:colOff>441959</xdr:colOff>
      <xdr:row>230</xdr:row>
      <xdr:rowOff>160020</xdr:rowOff>
    </xdr:to>
    <xdr:sp macro="" textlink="">
      <xdr:nvSpPr>
        <xdr:cNvPr id="469" name="TextBox 468">
          <a:extLst>
            <a:ext uri="{FF2B5EF4-FFF2-40B4-BE49-F238E27FC236}">
              <a16:creationId xmlns:a16="http://schemas.microsoft.com/office/drawing/2014/main" id="{00000000-0008-0000-0100-0000D5010000}"/>
            </a:ext>
          </a:extLst>
        </xdr:cNvPr>
        <xdr:cNvSpPr txBox="1"/>
      </xdr:nvSpPr>
      <xdr:spPr>
        <a:xfrm>
          <a:off x="6408419" y="51616069"/>
          <a:ext cx="5943600" cy="5815871"/>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HP helps you translate your client's</a:t>
          </a:r>
          <a:r>
            <a:rPr lang="en-US" sz="1200" baseline="0">
              <a:latin typeface="Cambria" panose="02040503050406030204" pitchFamily="18" charset="0"/>
              <a:ea typeface="Cambria" panose="02040503050406030204" pitchFamily="18" charset="0"/>
            </a:rPr>
            <a:t> </a:t>
          </a:r>
          <a:r>
            <a:rPr lang="en-US" sz="1200">
              <a:latin typeface="Cambria" panose="02040503050406030204" pitchFamily="18" charset="0"/>
              <a:ea typeface="Cambria" panose="02040503050406030204" pitchFamily="18" charset="0"/>
            </a:rPr>
            <a:t>political rhetoric into their</a:t>
          </a:r>
          <a:r>
            <a:rPr lang="en-US" sz="1200" baseline="0">
              <a:latin typeface="Cambria" panose="02040503050406030204" pitchFamily="18" charset="0"/>
              <a:ea typeface="Cambria" panose="02040503050406030204" pitchFamily="18" charset="0"/>
            </a:rPr>
            <a:t> current priority of needs. First, at the level of access to public resources to address their [ISSUE]-related needs. Second, at the deeper level of their impacted psychosocial needs. If your client favors a [PO-STANCE] on the issue of [ISSUE], you can suspect their [self-needs, like authenticity and privacy / social-needs, like cohesion and support], are more resolved than their [social-needs, like inclusion and fairness / self-needs, like self-initiative and independence]. You can affirm the needs themselves, without premature agreement or disagreement for what to do about them.</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lets your client guard their vulnerable needs beneath a cloak of publically supported beliefs. They count on that support to insist what others must do, to respect their [ISSUE]-affected needs. They get to check how much you respect their [ISSUE]-affected needs. You can show the deepest respect by affirming their underlying needs, without premature agreement or disagreement for what to do about such needs. You acknowledge how important it must be for them to [STANCE ACTION], without offering comment, yet, for how well that will serve their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As an honored role in this helping profession, you are more helpful when guiding your client beyond the fragile certainty of [expressed/ISSUE] politics. "Before we get to that," you can tell your client seeking your agreement, "Let's get right to the point. Let's address your needs behind those views." You work with your client to cultivate the honesty necesary to process their vulnerably affected needs.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expresses agreement about ideas, about [ISSUE]. You resist that pull, to go straight to the needs affected by [ISSUE]. You affirm those needs without jumping ahead to what is to be done about those vulnerable needs affected by [ISSUE]. </a:t>
          </a:r>
        </a:p>
        <a:p>
          <a:endParaRPr lang="en-US" sz="1200" baseline="0">
            <a:latin typeface="Cambria" panose="02040503050406030204" pitchFamily="18" charset="0"/>
            <a:ea typeface="Cambria" panose="02040503050406030204" pitchFamily="18"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a:solidFill>
                <a:schemeClr val="dk1"/>
              </a:solidFill>
              <a:effectLst/>
              <a:latin typeface="Cambria" panose="02040503050406030204" pitchFamily="18" charset="0"/>
              <a:ea typeface="Cambria" panose="02040503050406030204" pitchFamily="18" charset="0"/>
              <a:cs typeface="+mn-cs"/>
            </a:rPr>
            <a:t>HP</a:t>
          </a:r>
          <a:r>
            <a:rPr lang="en-US" sz="1200" baseline="0">
              <a:solidFill>
                <a:schemeClr val="dk1"/>
              </a:solidFill>
              <a:effectLst/>
              <a:latin typeface="Cambria" panose="02040503050406030204" pitchFamily="18" charset="0"/>
              <a:ea typeface="Cambria" panose="02040503050406030204" pitchFamily="18" charset="0"/>
              <a:cs typeface="+mn-cs"/>
            </a:rPr>
            <a:t> helps you d</a:t>
          </a:r>
          <a:r>
            <a:rPr lang="en-US" sz="1200">
              <a:solidFill>
                <a:schemeClr val="dk1"/>
              </a:solidFill>
              <a:effectLst/>
              <a:latin typeface="Cambria" panose="02040503050406030204" pitchFamily="18" charset="0"/>
              <a:ea typeface="Cambria" panose="02040503050406030204" pitchFamily="18" charset="0"/>
              <a:cs typeface="+mn-cs"/>
            </a:rPr>
            <a:t>istinguish between the inflexible prioritized needs around [ISSUE], expressed in</a:t>
          </a:r>
          <a:r>
            <a:rPr lang="en-US" sz="1200" baseline="0">
              <a:solidFill>
                <a:schemeClr val="dk1"/>
              </a:solidFill>
              <a:effectLst/>
              <a:latin typeface="Cambria" panose="02040503050406030204" pitchFamily="18" charset="0"/>
              <a:ea typeface="Cambria" panose="02040503050406030204" pitchFamily="18" charset="0"/>
              <a:cs typeface="+mn-cs"/>
            </a:rPr>
            <a:t> political terms, and the overgeneralizing expectations to ease such prioritized needs, also expressed in political terms. The former is not only legit but often essential. The latter is often problematic, for both sides. </a:t>
          </a:r>
          <a:endParaRPr lang="en-US" sz="1100">
            <a:effectLst/>
            <a:latin typeface="Cambria" panose="02040503050406030204" pitchFamily="18" charset="0"/>
            <a:ea typeface="Cambria" panose="02040503050406030204" pitchFamily="18" charset="0"/>
          </a:endParaRPr>
        </a:p>
      </xdr:txBody>
    </xdr:sp>
    <xdr:clientData/>
  </xdr:twoCellAnchor>
  <xdr:twoCellAnchor>
    <xdr:from>
      <xdr:col>23</xdr:col>
      <xdr:colOff>111623</xdr:colOff>
      <xdr:row>1050</xdr:row>
      <xdr:rowOff>68580</xdr:rowOff>
    </xdr:from>
    <xdr:to>
      <xdr:col>56</xdr:col>
      <xdr:colOff>571501</xdr:colOff>
      <xdr:row>1059</xdr:row>
      <xdr:rowOff>137159</xdr:rowOff>
    </xdr:to>
    <xdr:sp macro="" textlink="">
      <xdr:nvSpPr>
        <xdr:cNvPr id="552" name="TextBox 551" hidden="1">
          <a:extLst>
            <a:ext uri="{FF2B5EF4-FFF2-40B4-BE49-F238E27FC236}">
              <a16:creationId xmlns:a16="http://schemas.microsoft.com/office/drawing/2014/main" id="{00000000-0008-0000-0100-000028020000}"/>
            </a:ext>
          </a:extLst>
        </xdr:cNvPr>
        <xdr:cNvSpPr txBox="1"/>
      </xdr:nvSpPr>
      <xdr:spPr>
        <a:xfrm>
          <a:off x="10512923" y="209435700"/>
          <a:ext cx="5138558" cy="1645919"/>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200" baseline="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endParaRPr lang="en-US" sz="1200">
            <a:solidFill>
              <a:schemeClr val="dk1"/>
            </a:solidFill>
            <a:latin typeface="Cambria" panose="02040503050406030204" pitchFamily="18" charset="0"/>
            <a:ea typeface="Cambria" panose="02040503050406030204" pitchFamily="18" charset="0"/>
            <a:cs typeface="+mn-cs"/>
          </a:endParaRP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Your</a:t>
          </a:r>
          <a:r>
            <a:rPr lang="en-US" sz="1200" baseline="0">
              <a:solidFill>
                <a:schemeClr val="dk1"/>
              </a:solidFill>
              <a:latin typeface="Cambria" panose="02040503050406030204" pitchFamily="18" charset="0"/>
              <a:ea typeface="Cambria" panose="02040503050406030204" pitchFamily="18" charset="0"/>
              <a:cs typeface="+mn-cs"/>
            </a:rPr>
            <a:t> side generalizes for [A] while guarding [B]. The other side generalize [C] while guarding their [D].</a:t>
          </a:r>
          <a:endParaRPr lang="en-US" sz="120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67</xdr:col>
      <xdr:colOff>243840</xdr:colOff>
      <xdr:row>1126</xdr:row>
      <xdr:rowOff>0</xdr:rowOff>
    </xdr:from>
    <xdr:to>
      <xdr:col>69</xdr:col>
      <xdr:colOff>215900</xdr:colOff>
      <xdr:row>1138</xdr:row>
      <xdr:rowOff>22860</xdr:rowOff>
    </xdr:to>
    <xdr:sp macro="" textlink="">
      <xdr:nvSpPr>
        <xdr:cNvPr id="553" name="Text Box 2">
          <a:extLst>
            <a:ext uri="{FF2B5EF4-FFF2-40B4-BE49-F238E27FC236}">
              <a16:creationId xmlns:a16="http://schemas.microsoft.com/office/drawing/2014/main" id="{00000000-0008-0000-0100-000029020000}"/>
            </a:ext>
          </a:extLst>
        </xdr:cNvPr>
        <xdr:cNvSpPr txBox="1"/>
      </xdr:nvSpPr>
      <xdr:spPr>
        <a:xfrm>
          <a:off x="22029420" y="242407440"/>
          <a:ext cx="1191260" cy="2133600"/>
        </a:xfrm>
        <a:prstGeom prst="rect">
          <a:avLst/>
        </a:prstGeom>
        <a:solidFill>
          <a:srgbClr val="B905FF"/>
        </a:solidFill>
        <a:ln w="6350">
          <a:solidFill>
            <a:srgbClr val="F0CD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Immigration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Climate change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Gun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Abortion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Healthcare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Criminal justice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Economy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Racism</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Police brutality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Voting fairness</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Covid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Free speech</a:t>
          </a:r>
        </a:p>
      </xdr:txBody>
    </xdr:sp>
    <xdr:clientData/>
  </xdr:twoCellAnchor>
  <xdr:twoCellAnchor>
    <xdr:from>
      <xdr:col>56</xdr:col>
      <xdr:colOff>75604</xdr:colOff>
      <xdr:row>1117</xdr:row>
      <xdr:rowOff>143436</xdr:rowOff>
    </xdr:from>
    <xdr:to>
      <xdr:col>57</xdr:col>
      <xdr:colOff>578524</xdr:colOff>
      <xdr:row>1120</xdr:row>
      <xdr:rowOff>108369</xdr:rowOff>
    </xdr:to>
    <xdr:grpSp>
      <xdr:nvGrpSpPr>
        <xdr:cNvPr id="124" name="Group 123">
          <a:extLst>
            <a:ext uri="{FF2B5EF4-FFF2-40B4-BE49-F238E27FC236}">
              <a16:creationId xmlns:a16="http://schemas.microsoft.com/office/drawing/2014/main" id="{00000000-0008-0000-0100-00007C000000}"/>
            </a:ext>
          </a:extLst>
        </xdr:cNvPr>
        <xdr:cNvGrpSpPr/>
      </xdr:nvGrpSpPr>
      <xdr:grpSpPr>
        <a:xfrm>
          <a:off x="25892164" y="236456220"/>
          <a:ext cx="533996" cy="0"/>
          <a:chOff x="15125700" y="211576920"/>
          <a:chExt cx="1112520" cy="611289"/>
        </a:xfrm>
      </xdr:grpSpPr>
      <xdr:sp macro="" textlink="">
        <xdr:nvSpPr>
          <xdr:cNvPr id="123" name="Arrow: Down 122">
            <a:extLst>
              <a:ext uri="{FF2B5EF4-FFF2-40B4-BE49-F238E27FC236}">
                <a16:creationId xmlns:a16="http://schemas.microsoft.com/office/drawing/2014/main" id="{00000000-0008-0000-0100-00007B000000}"/>
              </a:ext>
            </a:extLst>
          </xdr:cNvPr>
          <xdr:cNvSpPr/>
        </xdr:nvSpPr>
        <xdr:spPr>
          <a:xfrm>
            <a:off x="15125700" y="211576920"/>
            <a:ext cx="1112520" cy="541020"/>
          </a:xfrm>
          <a:prstGeom prst="downArrow">
            <a:avLst>
              <a:gd name="adj1" fmla="val 92466"/>
              <a:gd name="adj2" fmla="val 23239"/>
            </a:avLst>
          </a:prstGeom>
          <a:solidFill>
            <a:srgbClr val="00823C"/>
          </a:solidFill>
          <a:ln>
            <a:solidFill>
              <a:srgbClr val="1EFF7D"/>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0" rtlCol="0" anchor="ctr"/>
          <a:lstStyle/>
          <a:p>
            <a:pPr algn="ctr"/>
            <a:r>
              <a:rPr lang="en-US" sz="1000" b="1">
                <a:latin typeface="Arial Narrow" panose="020B0606020202030204" pitchFamily="34" charset="0"/>
              </a:rPr>
              <a:t>IT STARTS HERE WITH NEEDS</a:t>
            </a:r>
          </a:p>
        </xdr:txBody>
      </xdr:sp>
      <xdr:pic>
        <xdr:nvPicPr>
          <xdr:cNvPr id="561" name="Picture 560">
            <a:extLst>
              <a:ext uri="{FF2B5EF4-FFF2-40B4-BE49-F238E27FC236}">
                <a16:creationId xmlns:a16="http://schemas.microsoft.com/office/drawing/2014/main" id="{00000000-0008-0000-0100-000031020000}"/>
              </a:ext>
            </a:extLst>
          </xdr:cNvPr>
          <xdr:cNvPicPr>
            <a:picLocks noChangeAspect="1"/>
          </xdr:cNvPicPr>
        </xdr:nvPicPr>
        <xdr:blipFill rotWithShape="1">
          <a:blip xmlns:r="http://schemas.openxmlformats.org/officeDocument/2006/relationships" r:embed="rId3"/>
          <a:srcRect l="15419" t="6369" r="8472"/>
          <a:stretch/>
        </xdr:blipFill>
        <xdr:spPr>
          <a:xfrm>
            <a:off x="15148560" y="211886902"/>
            <a:ext cx="297180" cy="301307"/>
          </a:xfrm>
          <a:prstGeom prst="rect">
            <a:avLst/>
          </a:prstGeom>
        </xdr:spPr>
      </xdr:pic>
      <xdr:pic>
        <xdr:nvPicPr>
          <xdr:cNvPr id="562" name="Picture 561">
            <a:extLst>
              <a:ext uri="{FF2B5EF4-FFF2-40B4-BE49-F238E27FC236}">
                <a16:creationId xmlns:a16="http://schemas.microsoft.com/office/drawing/2014/main" id="{00000000-0008-0000-0100-000032020000}"/>
              </a:ext>
            </a:extLst>
          </xdr:cNvPr>
          <xdr:cNvPicPr>
            <a:picLocks noChangeAspect="1"/>
          </xdr:cNvPicPr>
        </xdr:nvPicPr>
        <xdr:blipFill rotWithShape="1">
          <a:blip xmlns:r="http://schemas.openxmlformats.org/officeDocument/2006/relationships" r:embed="rId4"/>
          <a:srcRect l="10918" t="3776" r="6634"/>
          <a:stretch/>
        </xdr:blipFill>
        <xdr:spPr>
          <a:xfrm>
            <a:off x="15946334" y="211872140"/>
            <a:ext cx="269025" cy="313031"/>
          </a:xfrm>
          <a:prstGeom prst="rect">
            <a:avLst/>
          </a:prstGeom>
        </xdr:spPr>
      </xdr:pic>
    </xdr:grpSp>
    <xdr:clientData/>
  </xdr:twoCellAnchor>
  <xdr:twoCellAnchor>
    <xdr:from>
      <xdr:col>1</xdr:col>
      <xdr:colOff>38100</xdr:colOff>
      <xdr:row>434</xdr:row>
      <xdr:rowOff>22875</xdr:rowOff>
    </xdr:from>
    <xdr:to>
      <xdr:col>12</xdr:col>
      <xdr:colOff>449580</xdr:colOff>
      <xdr:row>444</xdr:row>
      <xdr:rowOff>152420</xdr:rowOff>
    </xdr:to>
    <xdr:grpSp>
      <xdr:nvGrpSpPr>
        <xdr:cNvPr id="583" name="Group 582">
          <a:extLst>
            <a:ext uri="{FF2B5EF4-FFF2-40B4-BE49-F238E27FC236}">
              <a16:creationId xmlns:a16="http://schemas.microsoft.com/office/drawing/2014/main" id="{00000000-0008-0000-0100-000047020000}"/>
            </a:ext>
          </a:extLst>
        </xdr:cNvPr>
        <xdr:cNvGrpSpPr/>
      </xdr:nvGrpSpPr>
      <xdr:grpSpPr>
        <a:xfrm>
          <a:off x="152400" y="104279715"/>
          <a:ext cx="5943600" cy="2247905"/>
          <a:chOff x="7955333" y="72081194"/>
          <a:chExt cx="6575866" cy="1868667"/>
        </a:xfrm>
      </xdr:grpSpPr>
      <xdr:grpSp>
        <xdr:nvGrpSpPr>
          <xdr:cNvPr id="584" name="Group 583">
            <a:extLst>
              <a:ext uri="{FF2B5EF4-FFF2-40B4-BE49-F238E27FC236}">
                <a16:creationId xmlns:a16="http://schemas.microsoft.com/office/drawing/2014/main" id="{00000000-0008-0000-0100-000048020000}"/>
              </a:ext>
            </a:extLst>
          </xdr:cNvPr>
          <xdr:cNvGrpSpPr/>
        </xdr:nvGrpSpPr>
        <xdr:grpSpPr>
          <a:xfrm>
            <a:off x="8039101" y="72170934"/>
            <a:ext cx="6400800" cy="1747274"/>
            <a:chOff x="8039100" y="72125875"/>
            <a:chExt cx="4572000" cy="902759"/>
          </a:xfrm>
        </xdr:grpSpPr>
        <xdr:sp macro="" textlink="">
          <xdr:nvSpPr>
            <xdr:cNvPr id="590" name="Rectangle: Top Corners Rounded 589">
              <a:extLst>
                <a:ext uri="{FF2B5EF4-FFF2-40B4-BE49-F238E27FC236}">
                  <a16:creationId xmlns:a16="http://schemas.microsoft.com/office/drawing/2014/main" id="{00000000-0008-0000-0100-00004E020000}"/>
                </a:ext>
              </a:extLst>
            </xdr:cNvPr>
            <xdr:cNvSpPr/>
          </xdr:nvSpPr>
          <xdr:spPr>
            <a:xfrm flipV="1">
              <a:off x="8039100" y="72188180"/>
              <a:ext cx="4572000" cy="83428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591" name="Rectangle 590">
              <a:extLst>
                <a:ext uri="{FF2B5EF4-FFF2-40B4-BE49-F238E27FC236}">
                  <a16:creationId xmlns:a16="http://schemas.microsoft.com/office/drawing/2014/main" id="{00000000-0008-0000-0100-00004F020000}"/>
                </a:ext>
              </a:extLst>
            </xdr:cNvPr>
            <xdr:cNvSpPr/>
          </xdr:nvSpPr>
          <xdr:spPr>
            <a:xfrm>
              <a:off x="8058694" y="72174045"/>
              <a:ext cx="4532811" cy="15733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92" name="Rectangle: Top Corners Rounded 591">
              <a:extLst>
                <a:ext uri="{FF2B5EF4-FFF2-40B4-BE49-F238E27FC236}">
                  <a16:creationId xmlns:a16="http://schemas.microsoft.com/office/drawing/2014/main" id="{00000000-0008-0000-0100-000050020000}"/>
                </a:ext>
              </a:extLst>
            </xdr:cNvPr>
            <xdr:cNvSpPr/>
          </xdr:nvSpPr>
          <xdr:spPr>
            <a:xfrm flipV="1">
              <a:off x="8052642" y="72125875"/>
              <a:ext cx="4544338" cy="902759"/>
            </a:xfrm>
            <a:prstGeom prst="round2SameRect">
              <a:avLst>
                <a:gd name="adj1" fmla="val 29584"/>
                <a:gd name="adj2" fmla="val 0"/>
              </a:avLst>
            </a:prstGeom>
            <a:gradFill flip="none" rotWithShape="1">
              <a:gsLst>
                <a:gs pos="0">
                  <a:schemeClr val="tx1">
                    <a:lumMod val="75000"/>
                    <a:lumOff val="25000"/>
                    <a:alpha val="80000"/>
                  </a:schemeClr>
                </a:gs>
                <a:gs pos="50000">
                  <a:schemeClr val="tx1">
                    <a:lumMod val="50000"/>
                    <a:lumOff val="50000"/>
                    <a:alpha val="55000"/>
                  </a:schemeClr>
                </a:gs>
                <a:gs pos="100000">
                  <a:schemeClr val="bg1">
                    <a:lumMod val="95000"/>
                    <a:alpha val="25000"/>
                  </a:schemeClr>
                </a:gs>
              </a:gsLst>
              <a:lin ang="5400000" scaled="1"/>
              <a:tileRect/>
            </a:gradFill>
            <a:ln w="571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grpSp>
      <xdr:sp macro="" textlink="">
        <xdr:nvSpPr>
          <xdr:cNvPr id="585" name="Arrow: Left-Right 584">
            <a:extLst>
              <a:ext uri="{FF2B5EF4-FFF2-40B4-BE49-F238E27FC236}">
                <a16:creationId xmlns:a16="http://schemas.microsoft.com/office/drawing/2014/main" id="{00000000-0008-0000-0100-000049020000}"/>
              </a:ext>
            </a:extLst>
          </xdr:cNvPr>
          <xdr:cNvSpPr/>
        </xdr:nvSpPr>
        <xdr:spPr>
          <a:xfrm>
            <a:off x="8176260" y="72350851"/>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C00000"/>
              </a:gs>
              <a:gs pos="100000">
                <a:srgbClr val="C00000"/>
              </a:gs>
            </a:gsLst>
            <a:lin ang="0" scaled="1"/>
            <a:tileRect/>
          </a:gradFill>
          <a:ln>
            <a:solidFill>
              <a:schemeClr val="bg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45720" rIns="0" bIns="0" rtlCol="0" anchor="t"/>
          <a:lstStyle/>
          <a:p>
            <a:pPr algn="ctr"/>
            <a:r>
              <a:rPr lang="en-US" sz="1050" b="1" spc="-30">
                <a:solidFill>
                  <a:schemeClr val="bg1"/>
                </a:solidFill>
                <a:latin typeface="Arial Narrow" panose="020B0606020202030204" pitchFamily="34" charset="0"/>
              </a:rPr>
              <a:t>The agree-disagree</a:t>
            </a:r>
            <a:r>
              <a:rPr lang="en-US" sz="1050" b="1" spc="-30" baseline="0">
                <a:solidFill>
                  <a:schemeClr val="bg1"/>
                </a:solidFill>
                <a:latin typeface="Arial Narrow" panose="020B0606020202030204" pitchFamily="34" charset="0"/>
              </a:rPr>
              <a:t> binary correlates </a:t>
            </a:r>
            <a:r>
              <a:rPr lang="en-US" sz="1050" b="1" i="1" spc="-30" baseline="0">
                <a:solidFill>
                  <a:schemeClr val="bg1"/>
                </a:solidFill>
                <a:latin typeface="Arial Narrow" panose="020B0606020202030204" pitchFamily="34" charset="0"/>
              </a:rPr>
              <a:t>more</a:t>
            </a:r>
            <a:r>
              <a:rPr lang="en-US" sz="1050" b="1" spc="-30" baseline="0">
                <a:solidFill>
                  <a:schemeClr val="bg1"/>
                </a:solidFill>
                <a:latin typeface="Arial Narrow" panose="020B0606020202030204" pitchFamily="34" charset="0"/>
              </a:rPr>
              <a:t> with </a:t>
            </a:r>
            <a:r>
              <a:rPr lang="en-US" sz="1050" b="1" i="1" spc="-30" baseline="0">
                <a:solidFill>
                  <a:schemeClr val="bg1"/>
                </a:solidFill>
                <a:latin typeface="Arial Narrow" panose="020B0606020202030204" pitchFamily="34" charset="0"/>
              </a:rPr>
              <a:t>pain-easing vacillation</a:t>
            </a:r>
            <a:r>
              <a:rPr lang="en-US" sz="1050" b="1" spc="-30" baseline="0">
                <a:solidFill>
                  <a:schemeClr val="bg1"/>
                </a:solidFill>
                <a:latin typeface="Arial Narrow" panose="020B0606020202030204" pitchFamily="34" charset="0"/>
              </a:rPr>
              <a:t> </a:t>
            </a:r>
            <a:r>
              <a:rPr lang="en-US" sz="1050" b="1" i="0" spc="-30" baseline="0">
                <a:solidFill>
                  <a:schemeClr val="bg1"/>
                </a:solidFill>
                <a:latin typeface="Arial Narrow" panose="020B0606020202030204" pitchFamily="34" charset="0"/>
              </a:rPr>
              <a:t>than</a:t>
            </a:r>
            <a:r>
              <a:rPr lang="en-US" sz="1050" b="1" spc="-30" baseline="0">
                <a:solidFill>
                  <a:schemeClr val="bg1"/>
                </a:solidFill>
                <a:latin typeface="Arial Narrow" panose="020B0606020202030204" pitchFamily="34" charset="0"/>
              </a:rPr>
              <a:t> </a:t>
            </a:r>
            <a:r>
              <a:rPr lang="en-US" sz="1050" b="1" i="1" spc="-30" baseline="0">
                <a:solidFill>
                  <a:schemeClr val="bg1"/>
                </a:solidFill>
                <a:latin typeface="Arial Narrow" panose="020B0606020202030204" pitchFamily="34" charset="0"/>
              </a:rPr>
              <a:t>need-resolving integration</a:t>
            </a:r>
            <a:r>
              <a:rPr lang="en-US" sz="1050" b="1" spc="-30" baseline="0">
                <a:solidFill>
                  <a:schemeClr val="bg1"/>
                </a:solidFill>
                <a:latin typeface="Arial Narrow" panose="020B0606020202030204" pitchFamily="34" charset="0"/>
              </a:rPr>
              <a:t>.</a:t>
            </a:r>
            <a:endParaRPr lang="en-US" sz="1050" b="1" spc="-30">
              <a:solidFill>
                <a:schemeClr val="bg1"/>
              </a:solidFill>
              <a:latin typeface="Arial Narrow" panose="020B0606020202030204" pitchFamily="34" charset="0"/>
            </a:endParaRPr>
          </a:p>
        </xdr:txBody>
      </xdr:sp>
      <xdr:sp macro="" textlink="">
        <xdr:nvSpPr>
          <xdr:cNvPr id="586" name="TextBox 585">
            <a:extLst>
              <a:ext uri="{FF2B5EF4-FFF2-40B4-BE49-F238E27FC236}">
                <a16:creationId xmlns:a16="http://schemas.microsoft.com/office/drawing/2014/main" id="{00000000-0008-0000-0100-00004A020000}"/>
              </a:ext>
            </a:extLst>
          </xdr:cNvPr>
          <xdr:cNvSpPr txBox="1"/>
        </xdr:nvSpPr>
        <xdr:spPr>
          <a:xfrm>
            <a:off x="8450580" y="72081194"/>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6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6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6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587" name="Arrow: Right 586">
            <a:extLst>
              <a:ext uri="{FF2B5EF4-FFF2-40B4-BE49-F238E27FC236}">
                <a16:creationId xmlns:a16="http://schemas.microsoft.com/office/drawing/2014/main" id="{00000000-0008-0000-0100-00004B020000}"/>
              </a:ext>
            </a:extLst>
          </xdr:cNvPr>
          <xdr:cNvSpPr/>
        </xdr:nvSpPr>
        <xdr:spPr>
          <a:xfrm rot="1118158">
            <a:off x="7955333" y="72981697"/>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588" name="Arrow: Right 587">
            <a:extLst>
              <a:ext uri="{FF2B5EF4-FFF2-40B4-BE49-F238E27FC236}">
                <a16:creationId xmlns:a16="http://schemas.microsoft.com/office/drawing/2014/main" id="{00000000-0008-0000-0100-00004C020000}"/>
              </a:ext>
            </a:extLst>
          </xdr:cNvPr>
          <xdr:cNvSpPr/>
        </xdr:nvSpPr>
        <xdr:spPr>
          <a:xfrm rot="20481842" flipH="1">
            <a:off x="11193639" y="72983495"/>
            <a:ext cx="3337560" cy="411480"/>
          </a:xfrm>
          <a:prstGeom prst="rightArrow">
            <a:avLst>
              <a:gd name="adj1" fmla="val 50000"/>
              <a:gd name="adj2" fmla="val 105556"/>
            </a:avLst>
          </a:prstGeom>
          <a:gradFill>
            <a:gsLst>
              <a:gs pos="50000">
                <a:srgbClr val="D9038B"/>
              </a:gs>
              <a:gs pos="0">
                <a:srgbClr val="C00000"/>
              </a:gs>
              <a:gs pos="100000">
                <a:srgbClr val="B905FF"/>
              </a:gs>
            </a:gsLst>
            <a:lin ang="0" scaled="1"/>
          </a:gradFill>
          <a:ln>
            <a:solidFill>
              <a:schemeClr val="bg1"/>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spc="-40">
                <a:latin typeface="Arial Narrow" panose="020B0606020202030204" pitchFamily="34" charset="0"/>
              </a:rPr>
              <a:t>identify</a:t>
            </a:r>
            <a:r>
              <a:rPr lang="en-US" sz="1100" b="1" spc="-40" baseline="0">
                <a:latin typeface="Arial Narrow" panose="020B0606020202030204" pitchFamily="34" charset="0"/>
              </a:rPr>
              <a:t> and address conservative prioritized needs</a:t>
            </a:r>
            <a:endParaRPr lang="en-US" sz="1100" b="1" spc="-40">
              <a:latin typeface="Arial Narrow" panose="020B0606020202030204" pitchFamily="34" charset="0"/>
            </a:endParaRPr>
          </a:p>
        </xdr:txBody>
      </xdr:sp>
      <xdr:sp macro="" textlink="">
        <xdr:nvSpPr>
          <xdr:cNvPr id="589" name="TextBox 588">
            <a:extLst>
              <a:ext uri="{FF2B5EF4-FFF2-40B4-BE49-F238E27FC236}">
                <a16:creationId xmlns:a16="http://schemas.microsoft.com/office/drawing/2014/main" id="{00000000-0008-0000-0100-00004D020000}"/>
              </a:ext>
            </a:extLst>
          </xdr:cNvPr>
          <xdr:cNvSpPr txBox="1"/>
        </xdr:nvSpPr>
        <xdr:spPr>
          <a:xfrm>
            <a:off x="8061960" y="73613254"/>
            <a:ext cx="6362700" cy="3366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B4FFCD"/>
                  </a:solidFill>
                </a:ln>
                <a:solidFill>
                  <a:srgbClr val="B4FFC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grpSp>
    <xdr:clientData/>
  </xdr:twoCellAnchor>
  <xdr:twoCellAnchor>
    <xdr:from>
      <xdr:col>15</xdr:col>
      <xdr:colOff>53340</xdr:colOff>
      <xdr:row>397</xdr:row>
      <xdr:rowOff>198118</xdr:rowOff>
    </xdr:from>
    <xdr:to>
      <xdr:col>26</xdr:col>
      <xdr:colOff>464820</xdr:colOff>
      <xdr:row>416</xdr:row>
      <xdr:rowOff>129540</xdr:rowOff>
    </xdr:to>
    <xdr:sp macro="" textlink="">
      <xdr:nvSpPr>
        <xdr:cNvPr id="597" name="notes" hidden="1">
          <a:extLst>
            <a:ext uri="{FF2B5EF4-FFF2-40B4-BE49-F238E27FC236}">
              <a16:creationId xmlns:a16="http://schemas.microsoft.com/office/drawing/2014/main" id="{00000000-0008-0000-0100-000055020000}"/>
            </a:ext>
          </a:extLst>
        </xdr:cNvPr>
        <xdr:cNvSpPr txBox="1"/>
      </xdr:nvSpPr>
      <xdr:spPr>
        <a:xfrm>
          <a:off x="6431280" y="78242158"/>
          <a:ext cx="5943600" cy="445770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trike="sngStrike" baseline="0">
              <a:solidFill>
                <a:schemeClr val="dk1"/>
              </a:solidFill>
              <a:latin typeface="Cambria" panose="02040503050406030204" pitchFamily="18" charset="0"/>
              <a:ea typeface="Cambria" panose="02040503050406030204" pitchFamily="18" charset="0"/>
              <a:cs typeface="+mn-cs"/>
            </a:rPr>
            <a:t>Your client's political views give you a glimpse into their pressing needs. If you remain atop of any tendency toward countertransference, you can tap into their priorities without having to ask. Politics </a:t>
          </a:r>
        </a:p>
        <a:p>
          <a:r>
            <a:rPr lang="en-US" sz="1200" strike="sngStrike" baseline="0">
              <a:solidFill>
                <a:schemeClr val="dk1"/>
              </a:solidFill>
              <a:latin typeface="Cambria" panose="02040503050406030204" pitchFamily="18" charset="0"/>
              <a:ea typeface="Cambria" panose="02040503050406030204" pitchFamily="18" charset="0"/>
              <a:cs typeface="+mn-cs"/>
            </a:rPr>
            <a:t>code for what is most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The needs behind political differences are not open to debate. No one's needs will ever change because you disagree with it. Only what others are to do about such needs fall within a legitimate political debate. You can disagree all you want [COUNSELOR PO STANCE] but your client's needs for [CLIENT PO STANCE] will not budge. Popular politics conflates inflexible needs with generalized reactions to those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strike="sngStrike" baseline="0">
              <a:solidFill>
                <a:schemeClr val="dk1"/>
              </a:solidFill>
              <a:latin typeface="Cambria" panose="02040503050406030204" pitchFamily="18" charset="0"/>
              <a:ea typeface="Cambria" panose="02040503050406030204" pitchFamily="18" charset="0"/>
              <a:cs typeface="+mn-cs"/>
            </a:rPr>
            <a:t>Popular politics suggests your client's [ISSUE]-related needs can be eased simply by [POSITION REACTION]. The more painful their unresolved needs, the less attention they can afford to how their stance can affect others.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Popular politics easily pulls them into an unnecessary conflict with others whose [ISSUE]-related needs insist they [POSITION REACTION]. Each side consumes precious resources trying to prove themselves right. You can redirect your client to take a more proactive path, toward resolving their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HP provides you opportunity to help clients distinguish between their inflexible [ISSUE]-related needs and the overgeneralizing tendency of [ISSUE] politics that rarely if ever can help resolve those inflexible needs. </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15</xdr:col>
      <xdr:colOff>15240</xdr:colOff>
      <xdr:row>394</xdr:row>
      <xdr:rowOff>175260</xdr:rowOff>
    </xdr:from>
    <xdr:to>
      <xdr:col>26</xdr:col>
      <xdr:colOff>426720</xdr:colOff>
      <xdr:row>421</xdr:row>
      <xdr:rowOff>99060</xdr:rowOff>
    </xdr:to>
    <xdr:sp macro="" textlink="">
      <xdr:nvSpPr>
        <xdr:cNvPr id="602" name="TextBox 601">
          <a:extLst>
            <a:ext uri="{FF2B5EF4-FFF2-40B4-BE49-F238E27FC236}">
              <a16:creationId xmlns:a16="http://schemas.microsoft.com/office/drawing/2014/main" id="{00000000-0008-0000-0100-00005A020000}"/>
            </a:ext>
          </a:extLst>
        </xdr:cNvPr>
        <xdr:cNvSpPr txBox="1"/>
      </xdr:nvSpPr>
      <xdr:spPr>
        <a:xfrm>
          <a:off x="6393180" y="95097600"/>
          <a:ext cx="5943600" cy="58369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Your client's political views grant you a glimpse into their sensitive needs. At first, they cloak their affected needs as arguable political positions. It is easer for them to express an emotionally charged need </a:t>
          </a:r>
          <a:r>
            <a:rPr lang="en-US" sz="1200" baseline="0">
              <a:solidFill>
                <a:schemeClr val="dk1"/>
              </a:solidFill>
              <a:latin typeface="Cambria" panose="02040503050406030204" pitchFamily="18" charset="0"/>
              <a:ea typeface="Cambria" panose="02040503050406030204" pitchFamily="18" charset="0"/>
              <a:cs typeface="+mn-cs"/>
            </a:rPr>
            <a:t>when given with some idea how to relieve it. It is generally easier for your client to insist we [R1117] than to vulnerably admit they struggle with [AD1117] and [AF1117].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It generally is easier for them to change their expressed views than alter their politically charged feelings. They personally cannot do much about the issue of [ISSUE D1117], but they can feel supported by those who agree with their [H1117] stance. Their feeling of [AD1117] and [AF1117] express the vulnerability of their publicly affected needs. They cannot change those feelings or their vulnerable needs for [AJ1117] and [AL1117] as easily as they can alter their [ISSUE] views to fit a friendly or hostile audience. </a:t>
          </a:r>
        </a:p>
        <a:p>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peal back their layers of protected alienation to help resolve their deeper needs. Harmony Politics helps you reverse engineer their emotionally charged [ISSUE]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[ISSUE] could undermine this intimate journey into greater self-awareness.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can feel alienated from you when you stay at the popularly expected level of agreement-disagreement. They likely expect you to [</a:t>
          </a:r>
          <a:r>
            <a:rPr lang="en-US" sz="1200" cap="all" baseline="0">
              <a:latin typeface="Cambria" panose="02040503050406030204" pitchFamily="18" charset="0"/>
              <a:ea typeface="Cambria" panose="02040503050406030204" pitchFamily="18" charset="0"/>
            </a:rPr>
            <a:t>agree/disagree</a:t>
          </a:r>
          <a:r>
            <a:rPr lang="en-US" sz="1200" baseline="0">
              <a:latin typeface="Cambria" panose="02040503050406030204" pitchFamily="18" charset="0"/>
              <a:ea typeface="Cambria" panose="02040503050406030204" pitchFamily="18" charset="0"/>
            </a:rPr>
            <a:t>] with their [STANCE H1117] stance on [ISSUE D1117]. If you miss this opportunity to connect beyond their [ISSUE] </a:t>
          </a:r>
          <a:r>
            <a:rPr lang="en-US" sz="1200" baseline="0">
              <a:solidFill>
                <a:schemeClr val="dk1"/>
              </a:solidFill>
              <a:latin typeface="Cambria" panose="02040503050406030204" pitchFamily="18" charset="0"/>
              <a:ea typeface="Cambria" panose="02040503050406030204" pitchFamily="18" charset="0"/>
              <a:cs typeface="+mn-cs"/>
            </a:rPr>
            <a:t>politics, with a hint of disagreement, the client reflexively self-censors their politically charged feelings. They tested the waters and withdrew. They cannot change the needs fueling those feelings. They can more easily change </a:t>
          </a:r>
          <a:r>
            <a:rPr lang="en-US" sz="1200" baseline="0">
              <a:latin typeface="Cambria" panose="02040503050406030204" pitchFamily="18" charset="0"/>
              <a:ea typeface="Cambria" panose="02040503050406030204" pitchFamily="18" charset="0"/>
            </a:rPr>
            <a:t>your relation with you. This missed opportunity risks leaving your client stuck in alienation.</a:t>
          </a:r>
        </a:p>
      </xdr:txBody>
    </xdr:sp>
    <xdr:clientData/>
  </xdr:twoCellAnchor>
  <xdr:twoCellAnchor>
    <xdr:from>
      <xdr:col>14</xdr:col>
      <xdr:colOff>83820</xdr:colOff>
      <xdr:row>323</xdr:row>
      <xdr:rowOff>53340</xdr:rowOff>
    </xdr:from>
    <xdr:to>
      <xdr:col>26</xdr:col>
      <xdr:colOff>411481</xdr:colOff>
      <xdr:row>332</xdr:row>
      <xdr:rowOff>30480</xdr:rowOff>
    </xdr:to>
    <xdr:sp macro="" textlink="">
      <xdr:nvSpPr>
        <xdr:cNvPr id="631" name="TextBox 630">
          <a:extLst>
            <a:ext uri="{FF2B5EF4-FFF2-40B4-BE49-F238E27FC236}">
              <a16:creationId xmlns:a16="http://schemas.microsoft.com/office/drawing/2014/main" id="{00000000-0008-0000-0100-000077020000}"/>
            </a:ext>
          </a:extLst>
        </xdr:cNvPr>
        <xdr:cNvSpPr txBox="1"/>
      </xdr:nvSpPr>
      <xdr:spPr>
        <a:xfrm>
          <a:off x="6347460" y="78775560"/>
          <a:ext cx="5974081" cy="1912620"/>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[W/D FELT NEED], or vicariously experience others' need [W/D FELT NEED]. Those on the other political side directly or vicariously experience a need [W/D FELT NEED]. Your client first experiences a need [W/D FELT NEED], or vicariously experience others' need [W/D FELT NEED]. [Your shared outlook could still result in some transference and countertransference. You both risk overgeneralizing the client's reaction to their publicly affected needs. / Your contrasting outlook could result in some transference and countertransference. You risk provoking your client's defensiveness instead of understanding how they experience their publicly affected needs. ] You mitigate by detaching from generalizing.</a:t>
          </a:r>
        </a:p>
        <a:p>
          <a:endParaRPr lang="en-US" sz="1050">
            <a:latin typeface="Arial Narrow" panose="020B0606020202030204" pitchFamily="34" charset="0"/>
          </a:endParaRPr>
        </a:p>
      </xdr:txBody>
    </xdr:sp>
    <xdr:clientData/>
  </xdr:twoCellAnchor>
  <xdr:twoCellAnchor>
    <xdr:from>
      <xdr:col>14</xdr:col>
      <xdr:colOff>106082</xdr:colOff>
      <xdr:row>1117</xdr:row>
      <xdr:rowOff>31678</xdr:rowOff>
    </xdr:from>
    <xdr:to>
      <xdr:col>17</xdr:col>
      <xdr:colOff>98462</xdr:colOff>
      <xdr:row>1120</xdr:row>
      <xdr:rowOff>19471</xdr:rowOff>
    </xdr:to>
    <xdr:grpSp>
      <xdr:nvGrpSpPr>
        <xdr:cNvPr id="604" name="Group 603">
          <a:extLst>
            <a:ext uri="{FF2B5EF4-FFF2-40B4-BE49-F238E27FC236}">
              <a16:creationId xmlns:a16="http://schemas.microsoft.com/office/drawing/2014/main" id="{00000000-0008-0000-0100-00005C020000}"/>
            </a:ext>
          </a:extLst>
        </xdr:cNvPr>
        <xdr:cNvGrpSpPr/>
      </xdr:nvGrpSpPr>
      <xdr:grpSpPr>
        <a:xfrm>
          <a:off x="6263640" y="236456220"/>
          <a:ext cx="0" cy="0"/>
          <a:chOff x="15125700" y="211576920"/>
          <a:chExt cx="1112520" cy="611289"/>
        </a:xfrm>
      </xdr:grpSpPr>
      <xdr:sp macro="" textlink="">
        <xdr:nvSpPr>
          <xdr:cNvPr id="605" name="Arrow: Down 604">
            <a:extLst>
              <a:ext uri="{FF2B5EF4-FFF2-40B4-BE49-F238E27FC236}">
                <a16:creationId xmlns:a16="http://schemas.microsoft.com/office/drawing/2014/main" id="{00000000-0008-0000-0100-00005D020000}"/>
              </a:ext>
            </a:extLst>
          </xdr:cNvPr>
          <xdr:cNvSpPr/>
        </xdr:nvSpPr>
        <xdr:spPr>
          <a:xfrm>
            <a:off x="15125700" y="211576920"/>
            <a:ext cx="1112520" cy="541020"/>
          </a:xfrm>
          <a:prstGeom prst="downArrow">
            <a:avLst>
              <a:gd name="adj1" fmla="val 92466"/>
              <a:gd name="adj2" fmla="val 23239"/>
            </a:avLst>
          </a:prstGeom>
          <a:solidFill>
            <a:srgbClr val="B905FF"/>
          </a:solidFill>
          <a:ln>
            <a:solidFill>
              <a:srgbClr val="7030A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91440" rtlCol="0" anchor="ctr"/>
          <a:lstStyle/>
          <a:p>
            <a:pPr algn="ctr"/>
            <a:r>
              <a:rPr lang="en-US" sz="1000" b="1">
                <a:latin typeface="Arial Narrow" panose="020B0606020202030204" pitchFamily="34" charset="0"/>
              </a:rPr>
              <a:t>WHOSE NEEDS MATTER MOST</a:t>
            </a:r>
          </a:p>
        </xdr:txBody>
      </xdr:sp>
      <xdr:pic>
        <xdr:nvPicPr>
          <xdr:cNvPr id="606" name="Picture 605">
            <a:extLst>
              <a:ext uri="{FF2B5EF4-FFF2-40B4-BE49-F238E27FC236}">
                <a16:creationId xmlns:a16="http://schemas.microsoft.com/office/drawing/2014/main" id="{00000000-0008-0000-0100-00005E020000}"/>
              </a:ext>
            </a:extLst>
          </xdr:cNvPr>
          <xdr:cNvPicPr>
            <a:picLocks noChangeAspect="1"/>
          </xdr:cNvPicPr>
        </xdr:nvPicPr>
        <xdr:blipFill rotWithShape="1">
          <a:blip xmlns:r="http://schemas.openxmlformats.org/officeDocument/2006/relationships" r:embed="rId3"/>
          <a:srcRect l="15419" t="6369" r="8472"/>
          <a:stretch/>
        </xdr:blipFill>
        <xdr:spPr>
          <a:xfrm>
            <a:off x="15148560" y="211886902"/>
            <a:ext cx="297180" cy="301307"/>
          </a:xfrm>
          <a:prstGeom prst="rect">
            <a:avLst/>
          </a:prstGeom>
        </xdr:spPr>
      </xdr:pic>
      <xdr:pic>
        <xdr:nvPicPr>
          <xdr:cNvPr id="607" name="Picture 606">
            <a:extLst>
              <a:ext uri="{FF2B5EF4-FFF2-40B4-BE49-F238E27FC236}">
                <a16:creationId xmlns:a16="http://schemas.microsoft.com/office/drawing/2014/main" id="{00000000-0008-0000-0100-00005F020000}"/>
              </a:ext>
            </a:extLst>
          </xdr:cNvPr>
          <xdr:cNvPicPr>
            <a:picLocks noChangeAspect="1"/>
          </xdr:cNvPicPr>
        </xdr:nvPicPr>
        <xdr:blipFill rotWithShape="1">
          <a:blip xmlns:r="http://schemas.openxmlformats.org/officeDocument/2006/relationships" r:embed="rId4"/>
          <a:srcRect l="10918" t="3776" r="6634"/>
          <a:stretch/>
        </xdr:blipFill>
        <xdr:spPr>
          <a:xfrm>
            <a:off x="15946334" y="211872140"/>
            <a:ext cx="269025" cy="313031"/>
          </a:xfrm>
          <a:prstGeom prst="rect">
            <a:avLst/>
          </a:prstGeom>
        </xdr:spPr>
      </xdr:pic>
    </xdr:grpSp>
    <xdr:clientData/>
  </xdr:twoCellAnchor>
  <xdr:twoCellAnchor>
    <xdr:from>
      <xdr:col>7</xdr:col>
      <xdr:colOff>129540</xdr:colOff>
      <xdr:row>1050</xdr:row>
      <xdr:rowOff>121920</xdr:rowOff>
    </xdr:from>
    <xdr:to>
      <xdr:col>20</xdr:col>
      <xdr:colOff>342901</xdr:colOff>
      <xdr:row>1061</xdr:row>
      <xdr:rowOff>7620</xdr:rowOff>
    </xdr:to>
    <xdr:sp macro="" textlink="">
      <xdr:nvSpPr>
        <xdr:cNvPr id="608" name="TextBox 607" hidden="1">
          <a:extLst>
            <a:ext uri="{FF2B5EF4-FFF2-40B4-BE49-F238E27FC236}">
              <a16:creationId xmlns:a16="http://schemas.microsoft.com/office/drawing/2014/main" id="{00000000-0008-0000-0100-000060020000}"/>
            </a:ext>
          </a:extLst>
        </xdr:cNvPr>
        <xdr:cNvSpPr txBox="1"/>
      </xdr:nvSpPr>
      <xdr:spPr>
        <a:xfrm>
          <a:off x="3261360" y="208848960"/>
          <a:ext cx="5974081" cy="1813560"/>
        </a:xfrm>
        <a:prstGeom prst="rect">
          <a:avLst/>
        </a:prstGeom>
        <a:solidFill>
          <a:srgbClr val="E1FFEB"/>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[W/D FELT NEED], or vicariously experience others' need [W/D FELT NEED]. Those on the other political side directly or vicariously experience a need [W/D FELT NEED]. Your client first experiences a need [W/D FELT NEED], or vicariously experience others' need [W/D FELT NEED]. [Your shared outlook could still result in some transference and countertransference. You both risk overgeneralizing the client's reaction to their publicly affected needs. / Your contrasting outlook could result in some transference and countertransference. You risk provoking your client's defensiveness instead of understanding how they experience their publicly affected needs. ]</a:t>
          </a:r>
        </a:p>
        <a:p>
          <a:endParaRPr lang="en-US" sz="1050">
            <a:latin typeface="Arial Narrow" panose="020B0606020202030204" pitchFamily="34" charset="0"/>
          </a:endParaRPr>
        </a:p>
      </xdr:txBody>
    </xdr:sp>
    <xdr:clientData/>
  </xdr:twoCellAnchor>
  <xdr:twoCellAnchor>
    <xdr:from>
      <xdr:col>14</xdr:col>
      <xdr:colOff>106680</xdr:colOff>
      <xdr:row>331</xdr:row>
      <xdr:rowOff>167640</xdr:rowOff>
    </xdr:from>
    <xdr:to>
      <xdr:col>26</xdr:col>
      <xdr:colOff>434341</xdr:colOff>
      <xdr:row>340</xdr:row>
      <xdr:rowOff>213360</xdr:rowOff>
    </xdr:to>
    <xdr:sp macro="" textlink="">
      <xdr:nvSpPr>
        <xdr:cNvPr id="609" name="TextBox 608">
          <a:extLst>
            <a:ext uri="{FF2B5EF4-FFF2-40B4-BE49-F238E27FC236}">
              <a16:creationId xmlns:a16="http://schemas.microsoft.com/office/drawing/2014/main" id="{00000000-0008-0000-0100-000061020000}"/>
            </a:ext>
          </a:extLst>
        </xdr:cNvPr>
        <xdr:cNvSpPr txBox="1"/>
      </xdr:nvSpPr>
      <xdr:spPr>
        <a:xfrm>
          <a:off x="6370320" y="80520540"/>
          <a:ext cx="5974081" cy="2270760"/>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Through the lens of their psychosocial orientation, your client views the affected needs of [W/D NEED] over the affected needs of [D/W NEEDS]. Their priority of needs compels them to [W/D EASE]. They can hardly empathize with the other side's priority to [D/W EASE]. Your client likely feels stuck in emotional pain until sufficient balance removes that pain. Political generalizing offers relief from that pain.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Spurred into further generalizing, each side imagines the worst in the other. Your client may express outrage that [REPUBLICANS/DEMOCRATS][W/D worse1] and may</a:t>
          </a:r>
          <a:r>
            <a:rPr lang="en-US" sz="1200" baseline="0">
              <a:solidFill>
                <a:srgbClr val="FF0000"/>
              </a:solidFill>
              <a:latin typeface="Cambria" panose="02040503050406030204" pitchFamily="18" charset="0"/>
              <a:ea typeface="Cambria" panose="02040503050406030204" pitchFamily="18" charset="0"/>
              <a:cs typeface="+mn-cs"/>
            </a:rPr>
            <a:t>be</a:t>
          </a:r>
          <a:r>
            <a:rPr lang="en-US" sz="1200" baseline="0">
              <a:solidFill>
                <a:schemeClr val="dk1"/>
              </a:solidFill>
              <a:latin typeface="Cambria" panose="02040503050406030204" pitchFamily="18" charset="0"/>
              <a:ea typeface="Cambria" panose="02040503050406030204" pitchFamily="18" charset="0"/>
              <a:cs typeface="+mn-cs"/>
            </a:rPr>
            <a:t> even [W/D worse2]. Your client may get defensive when opponents claim [DEMOCRATS/ REPUBLICANS][D/W worse1] or [D/W worse2]. Such catastrophizing may ease their pain. Rational thinking must take a back seat to the persisting pain of your client's publicly affected needs.</a:t>
          </a:r>
        </a:p>
      </xdr:txBody>
    </xdr:sp>
    <xdr:clientData/>
  </xdr:twoCellAnchor>
  <xdr:twoCellAnchor editAs="oneCell">
    <xdr:from>
      <xdr:col>0</xdr:col>
      <xdr:colOff>83820</xdr:colOff>
      <xdr:row>192</xdr:row>
      <xdr:rowOff>243840</xdr:rowOff>
    </xdr:from>
    <xdr:to>
      <xdr:col>2</xdr:col>
      <xdr:colOff>416270</xdr:colOff>
      <xdr:row>196</xdr:row>
      <xdr:rowOff>213360</xdr:rowOff>
    </xdr:to>
    <xdr:pic>
      <xdr:nvPicPr>
        <xdr:cNvPr id="129" name="Picture 128">
          <a:extLst>
            <a:ext uri="{FF2B5EF4-FFF2-40B4-BE49-F238E27FC236}">
              <a16:creationId xmlns:a16="http://schemas.microsoft.com/office/drawing/2014/main" id="{00000000-0008-0000-0100-000081000000}"/>
            </a:ext>
          </a:extLst>
        </xdr:cNvPr>
        <xdr:cNvPicPr>
          <a:picLocks noChangeAspect="1"/>
        </xdr:cNvPicPr>
      </xdr:nvPicPr>
      <xdr:blipFill rotWithShape="1">
        <a:blip xmlns:r="http://schemas.openxmlformats.org/officeDocument/2006/relationships" r:embed="rId5"/>
        <a:srcRect l="14106" t="5971" r="10441"/>
        <a:stretch/>
      </xdr:blipFill>
      <xdr:spPr>
        <a:xfrm>
          <a:off x="83820" y="49171860"/>
          <a:ext cx="949670" cy="975360"/>
        </a:xfrm>
        <a:prstGeom prst="rect">
          <a:avLst/>
        </a:prstGeom>
      </xdr:spPr>
    </xdr:pic>
    <xdr:clientData/>
  </xdr:twoCellAnchor>
  <xdr:twoCellAnchor editAs="oneCell">
    <xdr:from>
      <xdr:col>11</xdr:col>
      <xdr:colOff>47301</xdr:colOff>
      <xdr:row>192</xdr:row>
      <xdr:rowOff>182618</xdr:rowOff>
    </xdr:from>
    <xdr:to>
      <xdr:col>12</xdr:col>
      <xdr:colOff>441604</xdr:colOff>
      <xdr:row>196</xdr:row>
      <xdr:rowOff>204377</xdr:rowOff>
    </xdr:to>
    <xdr:pic>
      <xdr:nvPicPr>
        <xdr:cNvPr id="130" name="Picture 129">
          <a:extLst>
            <a:ext uri="{FF2B5EF4-FFF2-40B4-BE49-F238E27FC236}">
              <a16:creationId xmlns:a16="http://schemas.microsoft.com/office/drawing/2014/main" id="{00000000-0008-0000-0100-000082000000}"/>
            </a:ext>
          </a:extLst>
        </xdr:cNvPr>
        <xdr:cNvPicPr>
          <a:picLocks noChangeAspect="1"/>
        </xdr:cNvPicPr>
      </xdr:nvPicPr>
      <xdr:blipFill rotWithShape="1">
        <a:blip xmlns:r="http://schemas.openxmlformats.org/officeDocument/2006/relationships" r:embed="rId6"/>
        <a:srcRect l="10197" t="5287" r="7107"/>
        <a:stretch/>
      </xdr:blipFill>
      <xdr:spPr>
        <a:xfrm>
          <a:off x="5190801" y="49110638"/>
          <a:ext cx="897223" cy="1027599"/>
        </a:xfrm>
        <a:prstGeom prst="rect">
          <a:avLst/>
        </a:prstGeom>
      </xdr:spPr>
    </xdr:pic>
    <xdr:clientData/>
  </xdr:twoCellAnchor>
  <xdr:twoCellAnchor>
    <xdr:from>
      <xdr:col>15</xdr:col>
      <xdr:colOff>0</xdr:colOff>
      <xdr:row>342</xdr:row>
      <xdr:rowOff>60961</xdr:rowOff>
    </xdr:from>
    <xdr:to>
      <xdr:col>26</xdr:col>
      <xdr:colOff>411480</xdr:colOff>
      <xdr:row>349</xdr:row>
      <xdr:rowOff>114300</xdr:rowOff>
    </xdr:to>
    <xdr:sp macro="" textlink="">
      <xdr:nvSpPr>
        <xdr:cNvPr id="633" name="TextBox 632">
          <a:extLst>
            <a:ext uri="{FF2B5EF4-FFF2-40B4-BE49-F238E27FC236}">
              <a16:creationId xmlns:a16="http://schemas.microsoft.com/office/drawing/2014/main" id="{00000000-0008-0000-0100-000079020000}"/>
            </a:ext>
          </a:extLst>
        </xdr:cNvPr>
        <xdr:cNvSpPr txBox="1"/>
      </xdr:nvSpPr>
      <xdr:spPr>
        <a:xfrm>
          <a:off x="6377940" y="82936081"/>
          <a:ext cx="5943600" cy="1623059"/>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r>
            <a:rPr lang="en-US" sz="1200">
              <a:solidFill>
                <a:schemeClr val="dk1"/>
              </a:solidFill>
              <a:latin typeface="Cambria" panose="02040503050406030204" pitchFamily="18" charset="0"/>
              <a:ea typeface="Cambria" panose="02040503050406030204" pitchFamily="18" charset="0"/>
              <a:cs typeface="+mn-cs"/>
            </a:rPr>
            <a:t>Your</a:t>
          </a:r>
          <a:r>
            <a:rPr lang="en-US" sz="1200" baseline="0">
              <a:solidFill>
                <a:schemeClr val="dk1"/>
              </a:solidFill>
              <a:latin typeface="Cambria" panose="02040503050406030204" pitchFamily="18" charset="0"/>
              <a:ea typeface="Cambria" panose="02040503050406030204" pitchFamily="18" charset="0"/>
              <a:cs typeface="+mn-cs"/>
            </a:rPr>
            <a:t> side generalizes for [A] while guarding [B]. The other side generalize [C] while guarding their [D]. To ease that need, your client may overgeneralize by saying "[OVERGEN]" while the other side overgeneralizes by saying "[OVERGEN]". </a:t>
          </a:r>
        </a:p>
        <a:p>
          <a:endParaRPr lang="en-US" sz="1050">
            <a:latin typeface="Arial Narrow" panose="020B0606020202030204" pitchFamily="34" charset="0"/>
          </a:endParaRPr>
        </a:p>
      </xdr:txBody>
    </xdr:sp>
    <xdr:clientData/>
  </xdr:twoCellAnchor>
  <xdr:twoCellAnchor>
    <xdr:from>
      <xdr:col>1</xdr:col>
      <xdr:colOff>30422</xdr:colOff>
      <xdr:row>389</xdr:row>
      <xdr:rowOff>43747</xdr:rowOff>
    </xdr:from>
    <xdr:to>
      <xdr:col>3</xdr:col>
      <xdr:colOff>396182</xdr:colOff>
      <xdr:row>394</xdr:row>
      <xdr:rowOff>249487</xdr:rowOff>
    </xdr:to>
    <xdr:grpSp>
      <xdr:nvGrpSpPr>
        <xdr:cNvPr id="642" name="Group 641">
          <a:extLst>
            <a:ext uri="{FF2B5EF4-FFF2-40B4-BE49-F238E27FC236}">
              <a16:creationId xmlns:a16="http://schemas.microsoft.com/office/drawing/2014/main" id="{00000000-0008-0000-0100-000082020000}"/>
            </a:ext>
          </a:extLst>
        </xdr:cNvPr>
        <xdr:cNvGrpSpPr/>
      </xdr:nvGrpSpPr>
      <xdr:grpSpPr>
        <a:xfrm>
          <a:off x="144722" y="94097407"/>
          <a:ext cx="1371600" cy="1463040"/>
          <a:chOff x="17419320" y="216971880"/>
          <a:chExt cx="1333772" cy="1546860"/>
        </a:xfrm>
      </xdr:grpSpPr>
      <xdr:pic>
        <xdr:nvPicPr>
          <xdr:cNvPr id="643" name="Picture 642" descr="Yield, Give Way Sign, Right Of Way, Road Sign, Roadsign">
            <a:extLst>
              <a:ext uri="{FF2B5EF4-FFF2-40B4-BE49-F238E27FC236}">
                <a16:creationId xmlns:a16="http://schemas.microsoft.com/office/drawing/2014/main" id="{00000000-0008-0000-0100-00008302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419320" y="216971880"/>
            <a:ext cx="1333772" cy="1546860"/>
          </a:xfrm>
          <a:prstGeom prst="rect">
            <a:avLst/>
          </a:prstGeom>
          <a:noFill/>
          <a:effectLst>
            <a:outerShdw blurRad="50800" dist="38100" dir="5400000" algn="t"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sp macro="" textlink="">
        <xdr:nvSpPr>
          <xdr:cNvPr id="644" name="Rectangle 643">
            <a:extLst>
              <a:ext uri="{FF2B5EF4-FFF2-40B4-BE49-F238E27FC236}">
                <a16:creationId xmlns:a16="http://schemas.microsoft.com/office/drawing/2014/main" id="{00000000-0008-0000-0100-000084020000}"/>
              </a:ext>
            </a:extLst>
          </xdr:cNvPr>
          <xdr:cNvSpPr/>
        </xdr:nvSpPr>
        <xdr:spPr>
          <a:xfrm>
            <a:off x="17663160" y="217003136"/>
            <a:ext cx="845820" cy="711478"/>
          </a:xfrm>
          <a:prstGeom prst="rect">
            <a:avLst/>
          </a:prstGeom>
          <a:noFill/>
        </xdr:spPr>
        <xdr:txBody>
          <a:bodyPr wrap="square" lIns="91440" tIns="45720" rIns="91440" bIns="45720" anchor="ctr">
            <a:noAutofit/>
          </a:bodyPr>
          <a:lstStyle/>
          <a:p>
            <a:pPr algn="ctr"/>
            <a:r>
              <a:rPr lang="en-US" sz="1600" b="1" cap="none" spc="0">
                <a:ln w="10160">
                  <a:solidFill>
                    <a:srgbClr val="FF5050"/>
                  </a:solidFill>
                  <a:prstDash val="solid"/>
                </a:ln>
                <a:solidFill>
                  <a:schemeClr val="accent4">
                    <a:lumMod val="50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public norms</a:t>
            </a:r>
          </a:p>
        </xdr:txBody>
      </xdr:sp>
    </xdr:grpSp>
    <xdr:clientData/>
  </xdr:twoCellAnchor>
  <xdr:twoCellAnchor>
    <xdr:from>
      <xdr:col>1</xdr:col>
      <xdr:colOff>83762</xdr:colOff>
      <xdr:row>317</xdr:row>
      <xdr:rowOff>51343</xdr:rowOff>
    </xdr:from>
    <xdr:to>
      <xdr:col>3</xdr:col>
      <xdr:colOff>449522</xdr:colOff>
      <xdr:row>322</xdr:row>
      <xdr:rowOff>20863</xdr:rowOff>
    </xdr:to>
    <xdr:grpSp>
      <xdr:nvGrpSpPr>
        <xdr:cNvPr id="645" name="Group 644">
          <a:extLst>
            <a:ext uri="{FF2B5EF4-FFF2-40B4-BE49-F238E27FC236}">
              <a16:creationId xmlns:a16="http://schemas.microsoft.com/office/drawing/2014/main" id="{00000000-0008-0000-0100-000085020000}"/>
            </a:ext>
          </a:extLst>
        </xdr:cNvPr>
        <xdr:cNvGrpSpPr/>
      </xdr:nvGrpSpPr>
      <xdr:grpSpPr>
        <a:xfrm>
          <a:off x="198062" y="77302903"/>
          <a:ext cx="1371600" cy="1303020"/>
          <a:chOff x="16954500" y="214624896"/>
          <a:chExt cx="1371600" cy="1371600"/>
        </a:xfrm>
      </xdr:grpSpPr>
      <xdr:sp macro="" textlink="">
        <xdr:nvSpPr>
          <xdr:cNvPr id="646" name="Octagon 645">
            <a:extLst>
              <a:ext uri="{FF2B5EF4-FFF2-40B4-BE49-F238E27FC236}">
                <a16:creationId xmlns:a16="http://schemas.microsoft.com/office/drawing/2014/main" id="{00000000-0008-0000-0100-000086020000}"/>
              </a:ext>
            </a:extLst>
          </xdr:cNvPr>
          <xdr:cNvSpPr/>
        </xdr:nvSpPr>
        <xdr:spPr>
          <a:xfrm>
            <a:off x="16954500" y="214624896"/>
            <a:ext cx="1371600" cy="1371600"/>
          </a:xfrm>
          <a:prstGeom prst="octagon">
            <a:avLst>
              <a:gd name="adj" fmla="val 27774"/>
            </a:avLst>
          </a:prstGeom>
          <a:solidFill>
            <a:srgbClr val="FF5050"/>
          </a:solidFill>
          <a:effectLst>
            <a:outerShdw blurRad="50800" dist="38100" dir="5400000" algn="t" rotWithShape="0">
              <a:prstClr val="black">
                <a:alpha val="40000"/>
              </a:prstClr>
            </a:outerShdw>
          </a:effectLst>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cap="none" spc="40" baseline="0">
                <a:ln w="10160">
                  <a:solidFill>
                    <a:schemeClr val="bg1"/>
                  </a:solidFill>
                  <a:prstDash val="solid"/>
                </a:ln>
                <a:solidFill>
                  <a:schemeClr val="bg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publicly affected needs</a:t>
            </a:r>
          </a:p>
        </xdr:txBody>
      </xdr:sp>
      <xdr:sp macro="" textlink="">
        <xdr:nvSpPr>
          <xdr:cNvPr id="647" name="Octagon 646">
            <a:extLst>
              <a:ext uri="{FF2B5EF4-FFF2-40B4-BE49-F238E27FC236}">
                <a16:creationId xmlns:a16="http://schemas.microsoft.com/office/drawing/2014/main" id="{00000000-0008-0000-0100-000087020000}"/>
              </a:ext>
            </a:extLst>
          </xdr:cNvPr>
          <xdr:cNvSpPr>
            <a:spLocks noChangeAspect="1"/>
          </xdr:cNvSpPr>
        </xdr:nvSpPr>
        <xdr:spPr>
          <a:xfrm>
            <a:off x="17045940" y="214716360"/>
            <a:ext cx="1188720" cy="1188720"/>
          </a:xfrm>
          <a:prstGeom prst="octagon">
            <a:avLst>
              <a:gd name="adj" fmla="val 27774"/>
            </a:avLst>
          </a:prstGeom>
          <a:noFill/>
          <a:ln w="28575">
            <a:solidFill>
              <a:schemeClr val="bg1"/>
            </a:solidFill>
          </a:ln>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endParaRPr lang="en-US" sz="12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97119</xdr:colOff>
      <xdr:row>594</xdr:row>
      <xdr:rowOff>110273</xdr:rowOff>
    </xdr:from>
    <xdr:to>
      <xdr:col>13</xdr:col>
      <xdr:colOff>36314</xdr:colOff>
      <xdr:row>605</xdr:row>
      <xdr:rowOff>86672</xdr:rowOff>
    </xdr:to>
    <xdr:grpSp>
      <xdr:nvGrpSpPr>
        <xdr:cNvPr id="132" name="traffic light levels">
          <a:extLst>
            <a:ext uri="{FF2B5EF4-FFF2-40B4-BE49-F238E27FC236}">
              <a16:creationId xmlns:a16="http://schemas.microsoft.com/office/drawing/2014/main" id="{00000000-0008-0000-0100-000084000000}"/>
            </a:ext>
          </a:extLst>
        </xdr:cNvPr>
        <xdr:cNvGrpSpPr/>
      </xdr:nvGrpSpPr>
      <xdr:grpSpPr>
        <a:xfrm>
          <a:off x="97119" y="141659393"/>
          <a:ext cx="6088535" cy="2300499"/>
          <a:chOff x="16822" y="84681057"/>
          <a:chExt cx="6086798" cy="2765832"/>
        </a:xfrm>
      </xdr:grpSpPr>
      <xdr:sp macro="" textlink="">
        <xdr:nvSpPr>
          <xdr:cNvPr id="655" name="Value Relating">
            <a:extLst>
              <a:ext uri="{FF2B5EF4-FFF2-40B4-BE49-F238E27FC236}">
                <a16:creationId xmlns:a16="http://schemas.microsoft.com/office/drawing/2014/main" id="{00000000-0008-0000-0100-00008F020000}"/>
              </a:ext>
            </a:extLst>
          </xdr:cNvPr>
          <xdr:cNvSpPr txBox="1"/>
        </xdr:nvSpPr>
        <xdr:spPr>
          <a:xfrm>
            <a:off x="643424" y="84780129"/>
            <a:ext cx="5460196" cy="26667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rIns="0" bIns="73152" rtlCol="0" anchor="b" anchorCtr="1"/>
          <a:lstStyle/>
          <a:p>
            <a:pPr lvl="1" algn="ctr">
              <a:lnSpc>
                <a:spcPts val="1200"/>
              </a:lnSpc>
            </a:pPr>
            <a:r>
              <a:rPr lang="en-US" sz="1100" b="1">
                <a:ln>
                  <a:noFill/>
                </a:ln>
                <a:solidFill>
                  <a:srgbClr val="00B050"/>
                </a:solidFill>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Value</a:t>
            </a:r>
            <a:r>
              <a:rPr lang="en-US" sz="1100" b="1">
                <a:ln>
                  <a:noFill/>
                </a:ln>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 </a:t>
            </a:r>
            <a:r>
              <a:rPr lang="en-US" sz="1100" b="1">
                <a:ln>
                  <a:noFill/>
                </a:ln>
                <a:solidFill>
                  <a:srgbClr val="7030A0"/>
                </a:solidFill>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Relating </a:t>
            </a:r>
            <a:r>
              <a:rPr lang="en-US" sz="1000" b="1" baseline="0">
                <a:solidFill>
                  <a:schemeClr val="tx1">
                    <a:lumMod val="65000"/>
                    <a:lumOff val="35000"/>
                  </a:schemeClr>
                </a:solidFill>
                <a:latin typeface="Tahoma" panose="020B0604030504040204" pitchFamily="34" charset="0"/>
                <a:ea typeface="Tahoma" panose="020B0604030504040204" pitchFamily="34" charset="0"/>
                <a:cs typeface="Tahoma" panose="020B0604030504040204" pitchFamily="34" charset="0"/>
              </a:rPr>
              <a:t>is currently the only provider of psychsociotherapy.</a:t>
            </a:r>
            <a:endParaRPr lang="en-US" sz="1000" b="1">
              <a:solidFill>
                <a:schemeClr val="tx1">
                  <a:lumMod val="65000"/>
                  <a:lumOff val="35000"/>
                </a:schemeClr>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51" name="Recover...">
            <a:extLst>
              <a:ext uri="{FF2B5EF4-FFF2-40B4-BE49-F238E27FC236}">
                <a16:creationId xmlns:a16="http://schemas.microsoft.com/office/drawing/2014/main" id="{00000000-0008-0000-0100-00008B02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0">
              <a:lnSpc>
                <a:spcPts val="1000"/>
              </a:lnSpc>
            </a:pPr>
            <a:r>
              <a:rPr lang="en-US" sz="1000" b="1" baseline="0">
                <a:latin typeface="Arial Narrow" panose="020B0606020202030204" pitchFamily="34" charset="0"/>
              </a:rPr>
              <a:t>First, Harmony Politics stops you from losing clients over political </a:t>
            </a:r>
            <a:r>
              <a:rPr lang="en-US" sz="1000" b="1" baseline="0">
                <a:solidFill>
                  <a:schemeClr val="dk1"/>
                </a:solidFill>
                <a:latin typeface="Arial Narrow" panose="020B0606020202030204" pitchFamily="34" charset="0"/>
                <a:ea typeface="+mn-ea"/>
                <a:cs typeface="+mn-cs"/>
              </a:rPr>
              <a:t>differences</a:t>
            </a:r>
            <a:r>
              <a:rPr lang="en-US" sz="1000" baseline="0">
                <a:solidFill>
                  <a:schemeClr val="dk1"/>
                </a:solidFill>
                <a:latin typeface="Arial Narrow" panose="020B0606020202030204" pitchFamily="34" charset="0"/>
                <a:ea typeface="+mn-ea"/>
                <a:cs typeface="+mn-cs"/>
              </a:rPr>
              <a:t>. You set yourself apart from less inclined counselors when demonstrating you can connect more deeply with your client over contentious issues. Because you go deeper to the underlying needs.</a:t>
            </a:r>
          </a:p>
          <a:p>
            <a:endParaRPr lang="en-US" sz="1050">
              <a:latin typeface="Arial Narrow" panose="020B0606020202030204" pitchFamily="34" charset="0"/>
            </a:endParaRPr>
          </a:p>
        </xdr:txBody>
      </xdr:sp>
      <xdr:sp macro="" textlink="">
        <xdr:nvSpPr>
          <xdr:cNvPr id="652" name="Sustain...">
            <a:extLst>
              <a:ext uri="{FF2B5EF4-FFF2-40B4-BE49-F238E27FC236}">
                <a16:creationId xmlns:a16="http://schemas.microsoft.com/office/drawing/2014/main" id="{00000000-0008-0000-0100-00008C02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Sustain momentum</a:t>
            </a:r>
          </a:p>
          <a:p>
            <a:pPr marL="0" marR="0" lvl="0" indent="0" defTabSz="914400" eaLnBrk="1" fontAlgn="auto" latinLnBrk="0" hangingPunct="1">
              <a:lnSpc>
                <a:spcPts val="1000"/>
              </a:lnSpc>
              <a:spcBef>
                <a:spcPts val="0"/>
              </a:spcBef>
              <a:spcAft>
                <a:spcPts val="0"/>
              </a:spcAft>
              <a:buClrTx/>
              <a:buSzTx/>
              <a:buFontTx/>
              <a:buNone/>
              <a:tabLst/>
              <a:defRPr/>
            </a:pPr>
            <a:r>
              <a:rPr lang="en-US" sz="1000" b="1" baseline="0">
                <a:latin typeface="Arial Narrow" panose="020B0606020202030204" pitchFamily="34" charset="0"/>
              </a:rPr>
              <a:t>Second, Harmony Politics slows damage between opposing sides</a:t>
            </a:r>
            <a:r>
              <a:rPr lang="en-US" sz="1000" baseline="0">
                <a:latin typeface="Arial Narrow" panose="020B0606020202030204" pitchFamily="34" charset="0"/>
              </a:rPr>
              <a:t>. </a:t>
            </a:r>
            <a:r>
              <a:rPr lang="en-US" sz="1000" baseline="0">
                <a:solidFill>
                  <a:schemeClr val="dk1"/>
                </a:solidFill>
                <a:latin typeface="Arial Narrow" panose="020B0606020202030204" pitchFamily="34" charset="0"/>
                <a:ea typeface="+mn-ea"/>
                <a:cs typeface="+mn-cs"/>
              </a:rPr>
              <a:t>You stand out as a counselor who builds bridges between political sides. You empathize with a Trump supporter as much as you empathize with a Bernie supporter. You position yourself in high demand.</a:t>
            </a:r>
          </a:p>
          <a:p>
            <a:pPr lvl="0"/>
            <a:endParaRPr lang="en-US" sz="1050" baseline="0">
              <a:latin typeface="Arial Narrow" panose="020B0606020202030204" pitchFamily="34" charset="0"/>
            </a:endParaRPr>
          </a:p>
          <a:p>
            <a:endParaRPr lang="en-US" sz="1050">
              <a:latin typeface="Arial Narrow" panose="020B0606020202030204" pitchFamily="34" charset="0"/>
            </a:endParaRPr>
          </a:p>
        </xdr:txBody>
      </xdr:sp>
      <xdr:sp macro="" textlink="">
        <xdr:nvSpPr>
          <xdr:cNvPr id="653" name="Thrive...">
            <a:extLst>
              <a:ext uri="{FF2B5EF4-FFF2-40B4-BE49-F238E27FC236}">
                <a16:creationId xmlns:a16="http://schemas.microsoft.com/office/drawing/2014/main" id="{00000000-0008-0000-0100-00008D02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0">
              <a:lnSpc>
                <a:spcPts val="1000"/>
              </a:lnSpc>
            </a:pPr>
            <a:r>
              <a:rPr lang="en-US" sz="1000" b="1" baseline="0">
                <a:latin typeface="Arial Narrow" panose="020B0606020202030204" pitchFamily="34" charset="0"/>
              </a:rPr>
              <a:t>Lastly, Harmony Politics can speed up your client's full life potential</a:t>
            </a:r>
            <a:r>
              <a:rPr lang="en-US" sz="1000" baseline="0">
                <a:latin typeface="Arial Narrow" panose="020B0606020202030204" pitchFamily="34" charset="0"/>
              </a:rPr>
              <a:t>. </a:t>
            </a:r>
            <a:r>
              <a:rPr lang="en-US" sz="1000" baseline="0">
                <a:solidFill>
                  <a:schemeClr val="dk1"/>
                </a:solidFill>
                <a:latin typeface="Arial Narrow" panose="020B0606020202030204" pitchFamily="34" charset="0"/>
                <a:ea typeface="+mn-ea"/>
                <a:cs typeface="+mn-cs"/>
              </a:rPr>
              <a:t>You can learn to use </a:t>
            </a:r>
            <a:r>
              <a:rPr lang="en-US" sz="1000" i="1" baseline="0">
                <a:ln w="3175">
                  <a:solidFill>
                    <a:srgbClr val="00B050"/>
                  </a:solidFill>
                </a:ln>
                <a:solidFill>
                  <a:schemeClr val="dk1"/>
                </a:solidFill>
                <a:latin typeface="Arial Narrow" panose="020B0606020202030204" pitchFamily="34" charset="0"/>
                <a:ea typeface="+mn-ea"/>
                <a:cs typeface="+mn-cs"/>
              </a:rPr>
              <a:t>psychosociotherapy</a:t>
            </a:r>
            <a:r>
              <a:rPr lang="en-US" sz="1000" baseline="0">
                <a:solidFill>
                  <a:schemeClr val="dk1"/>
                </a:solidFill>
                <a:latin typeface="Arial Narrow" panose="020B0606020202030204" pitchFamily="34" charset="0"/>
                <a:ea typeface="+mn-ea"/>
                <a:cs typeface="+mn-cs"/>
              </a:rPr>
              <a:t> to empower your client to speak their truth to power. You advocate the resolution of their affected needs in accord with others resolving their needs.</a:t>
            </a:r>
          </a:p>
          <a:p>
            <a:endParaRPr lang="en-US" sz="1050">
              <a:latin typeface="Arial Narrow" panose="020B0606020202030204" pitchFamily="34" charset="0"/>
            </a:endParaRPr>
          </a:p>
        </xdr:txBody>
      </xdr:sp>
      <xdr:pic>
        <xdr:nvPicPr>
          <xdr:cNvPr id="654" name="traffic light pgn">
            <a:extLst>
              <a:ext uri="{FF2B5EF4-FFF2-40B4-BE49-F238E27FC236}">
                <a16:creationId xmlns:a16="http://schemas.microsoft.com/office/drawing/2014/main" id="{00000000-0008-0000-0100-00008E020000}"/>
              </a:ext>
            </a:extLst>
          </xdr:cNvPr>
          <xdr:cNvPicPr>
            <a:picLocks noChangeAspect="1"/>
          </xdr:cNvPicPr>
        </xdr:nvPicPr>
        <xdr:blipFill rotWithShape="1">
          <a:blip xmlns:r="http://schemas.openxmlformats.org/officeDocument/2006/relationships" r:embed="rId8"/>
          <a:srcRect b="275"/>
          <a:stretch/>
        </xdr:blipFill>
        <xdr:spPr>
          <a:xfrm>
            <a:off x="16822" y="84681057"/>
            <a:ext cx="1449327" cy="2758356"/>
          </a:xfrm>
          <a:prstGeom prst="rect">
            <a:avLst/>
          </a:prstGeom>
        </xdr:spPr>
      </xdr:pic>
    </xdr:grpSp>
    <xdr:clientData/>
  </xdr:twoCellAnchor>
  <xdr:twoCellAnchor>
    <xdr:from>
      <xdr:col>15</xdr:col>
      <xdr:colOff>152400</xdr:colOff>
      <xdr:row>514</xdr:row>
      <xdr:rowOff>91440</xdr:rowOff>
    </xdr:from>
    <xdr:to>
      <xdr:col>27</xdr:col>
      <xdr:colOff>99060</xdr:colOff>
      <xdr:row>525</xdr:row>
      <xdr:rowOff>224028</xdr:rowOff>
    </xdr:to>
    <xdr:grpSp>
      <xdr:nvGrpSpPr>
        <xdr:cNvPr id="656" name="traffic light" hidden="1">
          <a:extLst>
            <a:ext uri="{FF2B5EF4-FFF2-40B4-BE49-F238E27FC236}">
              <a16:creationId xmlns:a16="http://schemas.microsoft.com/office/drawing/2014/main" id="{00000000-0008-0000-0100-000090020000}"/>
            </a:ext>
          </a:extLst>
        </xdr:cNvPr>
        <xdr:cNvGrpSpPr/>
      </xdr:nvGrpSpPr>
      <xdr:grpSpPr>
        <a:xfrm>
          <a:off x="6263640" y="121897140"/>
          <a:ext cx="0" cy="2708148"/>
          <a:chOff x="121920" y="84681060"/>
          <a:chExt cx="5981700" cy="2769108"/>
        </a:xfrm>
      </xdr:grpSpPr>
      <xdr:sp macro="" textlink="">
        <xdr:nvSpPr>
          <xdr:cNvPr id="657" name="value relating">
            <a:extLst>
              <a:ext uri="{FF2B5EF4-FFF2-40B4-BE49-F238E27FC236}">
                <a16:creationId xmlns:a16="http://schemas.microsoft.com/office/drawing/2014/main" id="{00000000-0008-0000-0100-000091020000}"/>
              </a:ext>
            </a:extLst>
          </xdr:cNvPr>
          <xdr:cNvSpPr txBox="1"/>
        </xdr:nvSpPr>
        <xdr:spPr>
          <a:xfrm>
            <a:off x="297180" y="84780120"/>
            <a:ext cx="5806440" cy="2670048"/>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nchorCtr="1"/>
          <a:lstStyle/>
          <a:p>
            <a:pPr lvl="1" algn="ctr"/>
            <a:r>
              <a:rPr lang="en-US" sz="1400" b="1">
                <a:solidFill>
                  <a:srgbClr val="00B050"/>
                </a:solidFill>
                <a:latin typeface="Tahoma" panose="020B0604030504040204" pitchFamily="34" charset="0"/>
                <a:ea typeface="Tahoma" panose="020B0604030504040204" pitchFamily="34" charset="0"/>
                <a:cs typeface="Tahoma" panose="020B0604030504040204" pitchFamily="34" charset="0"/>
              </a:rPr>
              <a:t>Value</a:t>
            </a:r>
            <a:r>
              <a:rPr lang="en-US" sz="1400" b="1">
                <a:latin typeface="Tahoma" panose="020B0604030504040204" pitchFamily="34" charset="0"/>
                <a:ea typeface="Tahoma" panose="020B0604030504040204" pitchFamily="34" charset="0"/>
                <a:cs typeface="Tahoma" panose="020B0604030504040204" pitchFamily="34" charset="0"/>
              </a:rPr>
              <a:t> </a:t>
            </a:r>
            <a:r>
              <a:rPr lang="en-US" sz="1400" b="1">
                <a:solidFill>
                  <a:srgbClr val="7030A0"/>
                </a:solidFill>
                <a:latin typeface="Tahoma" panose="020B0604030504040204" pitchFamily="34" charset="0"/>
                <a:ea typeface="Tahoma" panose="020B0604030504040204" pitchFamily="34" charset="0"/>
                <a:cs typeface="Tahoma" panose="020B0604030504040204" pitchFamily="34" charset="0"/>
              </a:rPr>
              <a:t>Relating</a:t>
            </a:r>
          </a:p>
          <a:p>
            <a:pPr lvl="1" algn="ctr"/>
            <a:r>
              <a:rPr lang="en-US" sz="1050" baseline="0">
                <a:latin typeface="Arial Narrow" panose="020B0606020202030204" pitchFamily="34" charset="0"/>
              </a:rPr>
              <a:t>solving problems by resolving needs</a:t>
            </a:r>
            <a:endParaRPr lang="en-US" sz="1050">
              <a:latin typeface="Arial Narrow" panose="020B0606020202030204" pitchFamily="34" charset="0"/>
            </a:endParaRPr>
          </a:p>
        </xdr:txBody>
      </xdr:sp>
      <xdr:sp macro="" textlink="">
        <xdr:nvSpPr>
          <xdr:cNvPr id="658" name="recover rapport">
            <a:extLst>
              <a:ext uri="{FF2B5EF4-FFF2-40B4-BE49-F238E27FC236}">
                <a16:creationId xmlns:a16="http://schemas.microsoft.com/office/drawing/2014/main" id="{00000000-0008-0000-0100-00009202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1"/>
            <a:r>
              <a:rPr lang="en-US" sz="1050" baseline="0">
                <a:latin typeface="Arial Narrow" panose="020B0606020202030204" pitchFamily="34" charset="0"/>
              </a:rPr>
              <a:t>First, Harmony Politics stops you from losing clients over political differences. </a:t>
            </a:r>
          </a:p>
          <a:p>
            <a:endParaRPr lang="en-US" sz="1050">
              <a:latin typeface="Arial Narrow" panose="020B0606020202030204" pitchFamily="34" charset="0"/>
            </a:endParaRPr>
          </a:p>
        </xdr:txBody>
      </xdr:sp>
      <xdr:sp macro="" textlink="">
        <xdr:nvSpPr>
          <xdr:cNvPr id="659" name="sustain development">
            <a:extLst>
              <a:ext uri="{FF2B5EF4-FFF2-40B4-BE49-F238E27FC236}">
                <a16:creationId xmlns:a16="http://schemas.microsoft.com/office/drawing/2014/main" id="{00000000-0008-0000-0100-00009302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Sustain development</a:t>
            </a:r>
          </a:p>
          <a:p>
            <a:pPr lvl="1"/>
            <a:r>
              <a:rPr lang="en-US" sz="1050" baseline="0">
                <a:latin typeface="Arial Narrow" panose="020B0606020202030204" pitchFamily="34" charset="0"/>
              </a:rPr>
              <a:t>Second, Harmony Politics helps you sustain your client's psychosocial development. </a:t>
            </a:r>
          </a:p>
          <a:p>
            <a:endParaRPr lang="en-US" sz="1050">
              <a:latin typeface="Arial Narrow" panose="020B0606020202030204" pitchFamily="34" charset="0"/>
            </a:endParaRPr>
          </a:p>
        </xdr:txBody>
      </xdr:sp>
      <xdr:sp macro="" textlink="">
        <xdr:nvSpPr>
          <xdr:cNvPr id="660" name="thrive flow">
            <a:extLst>
              <a:ext uri="{FF2B5EF4-FFF2-40B4-BE49-F238E27FC236}">
                <a16:creationId xmlns:a16="http://schemas.microsoft.com/office/drawing/2014/main" id="{00000000-0008-0000-0100-00009402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1"/>
            <a:r>
              <a:rPr lang="en-US" sz="1050" baseline="0">
                <a:latin typeface="Arial Narrow" panose="020B0606020202030204" pitchFamily="34" charset="0"/>
              </a:rPr>
              <a:t>Lastly, Harmony Politics can empower your client to live up to their full potential. </a:t>
            </a:r>
          </a:p>
          <a:p>
            <a:endParaRPr lang="en-US" sz="1050">
              <a:latin typeface="Arial Narrow" panose="020B0606020202030204" pitchFamily="34" charset="0"/>
            </a:endParaRPr>
          </a:p>
        </xdr:txBody>
      </xdr:sp>
      <xdr:pic>
        <xdr:nvPicPr>
          <xdr:cNvPr id="661" name="traffic light pgn">
            <a:extLst>
              <a:ext uri="{FF2B5EF4-FFF2-40B4-BE49-F238E27FC236}">
                <a16:creationId xmlns:a16="http://schemas.microsoft.com/office/drawing/2014/main" id="{00000000-0008-0000-0100-000095020000}"/>
              </a:ext>
            </a:extLst>
          </xdr:cNvPr>
          <xdr:cNvPicPr>
            <a:picLocks noChangeAspect="1"/>
          </xdr:cNvPicPr>
        </xdr:nvPicPr>
        <xdr:blipFill>
          <a:blip xmlns:r="http://schemas.openxmlformats.org/officeDocument/2006/relationships" r:embed="rId8"/>
          <a:stretch>
            <a:fillRect/>
          </a:stretch>
        </xdr:blipFill>
        <xdr:spPr>
          <a:xfrm>
            <a:off x="121920" y="84681060"/>
            <a:ext cx="1649019" cy="2765934"/>
          </a:xfrm>
          <a:prstGeom prst="rect">
            <a:avLst/>
          </a:prstGeom>
        </xdr:spPr>
      </xdr:pic>
    </xdr:grpSp>
    <xdr:clientData/>
  </xdr:twoCellAnchor>
  <xdr:twoCellAnchor>
    <xdr:from>
      <xdr:col>1</xdr:col>
      <xdr:colOff>45720</xdr:colOff>
      <xdr:row>464</xdr:row>
      <xdr:rowOff>15240</xdr:rowOff>
    </xdr:from>
    <xdr:to>
      <xdr:col>3</xdr:col>
      <xdr:colOff>411480</xdr:colOff>
      <xdr:row>469</xdr:row>
      <xdr:rowOff>205740</xdr:rowOff>
    </xdr:to>
    <xdr:sp macro="" textlink="">
      <xdr:nvSpPr>
        <xdr:cNvPr id="726" name="Oval 725">
          <a:extLst>
            <a:ext uri="{FF2B5EF4-FFF2-40B4-BE49-F238E27FC236}">
              <a16:creationId xmlns:a16="http://schemas.microsoft.com/office/drawing/2014/main" id="{00000000-0008-0000-0100-0000D6020000}"/>
            </a:ext>
          </a:extLst>
        </xdr:cNvPr>
        <xdr:cNvSpPr>
          <a:spLocks noChangeAspect="1"/>
        </xdr:cNvSpPr>
      </xdr:nvSpPr>
      <xdr:spPr>
        <a:xfrm>
          <a:off x="160020" y="110733840"/>
          <a:ext cx="1371600" cy="1371600"/>
        </a:xfrm>
        <a:prstGeom prst="ellipse">
          <a:avLst/>
        </a:prstGeom>
        <a:solidFill>
          <a:srgbClr val="0AFA96"/>
        </a:solidFill>
        <a:ln w="57150">
          <a:solidFill>
            <a:srgbClr val="00B050"/>
          </a:solidFill>
        </a:ln>
        <a:effectLst>
          <a:outerShdw blurRad="50800" dist="38100" dir="5400000" algn="t" rotWithShape="0">
            <a:prstClr val="black">
              <a:alpha val="40000"/>
            </a:prstClr>
          </a:outerShdw>
        </a:effectLst>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tIns="0" rIns="0" bIns="0"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mutually resolve needs</a:t>
          </a:r>
          <a:endParaRPr lang="en-US" sz="1100" b="1">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15</xdr:col>
      <xdr:colOff>15240</xdr:colOff>
      <xdr:row>427</xdr:row>
      <xdr:rowOff>68580</xdr:rowOff>
    </xdr:from>
    <xdr:to>
      <xdr:col>26</xdr:col>
      <xdr:colOff>426720</xdr:colOff>
      <xdr:row>433</xdr:row>
      <xdr:rowOff>129540</xdr:rowOff>
    </xdr:to>
    <xdr:sp macro="" textlink="">
      <xdr:nvSpPr>
        <xdr:cNvPr id="728" name="TextBox 727">
          <a:extLst>
            <a:ext uri="{FF2B5EF4-FFF2-40B4-BE49-F238E27FC236}">
              <a16:creationId xmlns:a16="http://schemas.microsoft.com/office/drawing/2014/main" id="{00000000-0008-0000-0100-0000D8020000}"/>
            </a:ext>
          </a:extLst>
        </xdr:cNvPr>
        <xdr:cNvSpPr txBox="1"/>
      </xdr:nvSpPr>
      <xdr:spPr>
        <a:xfrm>
          <a:off x="6393180" y="102549960"/>
          <a:ext cx="5943600" cy="144018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Popular politics entices you and your client to stay shallow and alienated. You both are given a generalization to agree or disagree, with little room for nuance. If your client agrees to [R1117], it may ease their [AD1117] and [AF1117]. Since this pain-relief does not resolve the needs provoking such pain, your client's [ISSUE]-related pain persists. Your client risks staying shallow and alienated to cope with unending pain of their unresolved needs. Shift from that overgeneralizing binary to deeper understanding of your client's [ISSUE]-impacted needs.</a:t>
          </a:r>
        </a:p>
      </xdr:txBody>
    </xdr:sp>
    <xdr:clientData/>
  </xdr:twoCellAnchor>
  <xdr:twoCellAnchor>
    <xdr:from>
      <xdr:col>15</xdr:col>
      <xdr:colOff>7620</xdr:colOff>
      <xdr:row>444</xdr:row>
      <xdr:rowOff>137160</xdr:rowOff>
    </xdr:from>
    <xdr:to>
      <xdr:col>26</xdr:col>
      <xdr:colOff>419100</xdr:colOff>
      <xdr:row>450</xdr:row>
      <xdr:rowOff>167640</xdr:rowOff>
    </xdr:to>
    <xdr:sp macro="" textlink="">
      <xdr:nvSpPr>
        <xdr:cNvPr id="750" name="TextBox 749">
          <a:extLst>
            <a:ext uri="{FF2B5EF4-FFF2-40B4-BE49-F238E27FC236}">
              <a16:creationId xmlns:a16="http://schemas.microsoft.com/office/drawing/2014/main" id="{00000000-0008-0000-0100-0000EE020000}"/>
            </a:ext>
          </a:extLst>
        </xdr:cNvPr>
        <xdr:cNvSpPr txBox="1"/>
      </xdr:nvSpPr>
      <xdr:spPr>
        <a:xfrm>
          <a:off x="6385560" y="106573320"/>
          <a:ext cx="5943600" cy="14097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Harmony Politics encourages you to go deep and connect with your client's and anyone's political views. Instead of arguing for [L1117] or against [M1117], or some similar generalization for relief, you help them identify and express their specific [ISSUE]-affected needs. You guide them to see how their unique situation prompts them to [R1117] over [S1117]. After seeing why each side prioritizes their particular needs, your client can appreciate politics is relative to needs. Then they can go deep and connect with political others, just as you went deep and connected with them.</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editAs="oneCell">
    <xdr:from>
      <xdr:col>24</xdr:col>
      <xdr:colOff>212952</xdr:colOff>
      <xdr:row>483</xdr:row>
      <xdr:rowOff>68580</xdr:rowOff>
    </xdr:from>
    <xdr:to>
      <xdr:col>31</xdr:col>
      <xdr:colOff>690250</xdr:colOff>
      <xdr:row>497</xdr:row>
      <xdr:rowOff>56161</xdr:rowOff>
    </xdr:to>
    <xdr:pic>
      <xdr:nvPicPr>
        <xdr:cNvPr id="145" name="needs in balance" hidden="1">
          <a:extLst>
            <a:ext uri="{FF2B5EF4-FFF2-40B4-BE49-F238E27FC236}">
              <a16:creationId xmlns:a16="http://schemas.microsoft.com/office/drawing/2014/main" id="{00000000-0008-0000-0100-00009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117172" y="66560700"/>
          <a:ext cx="2869570" cy="1222022"/>
        </a:xfrm>
        <a:prstGeom prst="rect">
          <a:avLst/>
        </a:prstGeom>
      </xdr:spPr>
    </xdr:pic>
    <xdr:clientData/>
  </xdr:twoCellAnchor>
  <xdr:twoCellAnchor>
    <xdr:from>
      <xdr:col>15</xdr:col>
      <xdr:colOff>38100</xdr:colOff>
      <xdr:row>502</xdr:row>
      <xdr:rowOff>99060</xdr:rowOff>
    </xdr:from>
    <xdr:to>
      <xdr:col>26</xdr:col>
      <xdr:colOff>449580</xdr:colOff>
      <xdr:row>517</xdr:row>
      <xdr:rowOff>91440</xdr:rowOff>
    </xdr:to>
    <xdr:sp macro="" textlink="">
      <xdr:nvSpPr>
        <xdr:cNvPr id="788" name="TextBox 787">
          <a:extLst>
            <a:ext uri="{FF2B5EF4-FFF2-40B4-BE49-F238E27FC236}">
              <a16:creationId xmlns:a16="http://schemas.microsoft.com/office/drawing/2014/main" id="{00000000-0008-0000-0100-000014030000}"/>
            </a:ext>
          </a:extLst>
        </xdr:cNvPr>
        <xdr:cNvSpPr txBox="1"/>
      </xdr:nvSpPr>
      <xdr:spPr>
        <a:xfrm>
          <a:off x="6416040" y="119413020"/>
          <a:ext cx="5943600" cy="32537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Nature pulls us to balance our self-needs and social-needs. Your client experiences intense emotions like [AD1117] and [AF1117] because their need behind their desire [AH1117] remains unresolved. Their desire [AH1117] depends on their deeper unmet psychosocial need for [AJ1117] and their guarded psychosocial need for [AL1117].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Situations beyond their personal control dictates these needs. Politics give expression to these impacts, with the support of those similar affected. Because we blindly trust politics to ease such needs. As your client focuses on their more visible need [AH1117], you focus on their less visibly affected psychosocial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As you support resolving their affected self-needs on par with resolving their affected social-needs, you see their polarization gradually collapse. You nurture their conciliation between a wide and deep orientation to [D1119]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60960</xdr:colOff>
      <xdr:row>470</xdr:row>
      <xdr:rowOff>30480</xdr:rowOff>
    </xdr:from>
    <xdr:to>
      <xdr:col>26</xdr:col>
      <xdr:colOff>472440</xdr:colOff>
      <xdr:row>491</xdr:row>
      <xdr:rowOff>106680</xdr:rowOff>
    </xdr:to>
    <xdr:sp macro="" textlink="">
      <xdr:nvSpPr>
        <xdr:cNvPr id="792" name="TextBox 791">
          <a:extLst>
            <a:ext uri="{FF2B5EF4-FFF2-40B4-BE49-F238E27FC236}">
              <a16:creationId xmlns:a16="http://schemas.microsoft.com/office/drawing/2014/main" id="{00000000-0008-0000-0100-000018030000}"/>
            </a:ext>
          </a:extLst>
        </xdr:cNvPr>
        <xdr:cNvSpPr txBox="1"/>
      </xdr:nvSpPr>
      <xdr:spPr>
        <a:xfrm>
          <a:off x="6438900" y="112509300"/>
          <a:ext cx="5943600" cy="441198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The less your client's [ISSUE D1117]-related needs resolve, the more drawn to extreme positions for relief. Political polarization feeds on our increasing volume of unresolved needs. You as their counselor can provide a meaningful alternative to the disappointment of divisive politics.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Instead of overgeneralizing by insisting we must [AN1117], you encourage your client to empathize with [AP1117]. Ask your client how it impacts what they need when the other side insists we must [AO1117]. You remain present for their painful reaction. You focus their attention to specific needs, like the need [AH1117]. You ask them if they still think this is more important than the need [AI1117].</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When you see they are ready to focus more on resolving affected needs, you encourage them to see the other side's need for [AK1117] and for [AM1117] is no more or less important than your need for [AJ1117] and for [AL1117]. The more your client can empathize with [AP1117], ask them if this can make it easier for the other side to empathize with [AQ1117].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If your client ever thought of the other side as full of repugnant [Z1117], does your client still think that way? Or can your client humanize the other side with competing needs? Can your client now understand why those most desperate on the other side may think of your client as complicit with other [AA1117]? Once your client can envision receiving more respect from the other side for their [D1119] affected needs, you can help free their focus on their impacted psychosocial needs. You can then segue to de-polarizing.</a:t>
          </a:r>
        </a:p>
      </xdr:txBody>
    </xdr:sp>
    <xdr:clientData/>
  </xdr:twoCellAnchor>
  <xdr:twoCellAnchor>
    <xdr:from>
      <xdr:col>15</xdr:col>
      <xdr:colOff>30480</xdr:colOff>
      <xdr:row>355</xdr:row>
      <xdr:rowOff>114300</xdr:rowOff>
    </xdr:from>
    <xdr:to>
      <xdr:col>26</xdr:col>
      <xdr:colOff>472441</xdr:colOff>
      <xdr:row>365</xdr:row>
      <xdr:rowOff>205740</xdr:rowOff>
    </xdr:to>
    <xdr:sp macro="" textlink="">
      <xdr:nvSpPr>
        <xdr:cNvPr id="796" name="TextBox 795">
          <a:extLst>
            <a:ext uri="{FF2B5EF4-FFF2-40B4-BE49-F238E27FC236}">
              <a16:creationId xmlns:a16="http://schemas.microsoft.com/office/drawing/2014/main" id="{00000000-0008-0000-0100-00001C030000}"/>
            </a:ext>
          </a:extLst>
        </xdr:cNvPr>
        <xdr:cNvSpPr txBox="1"/>
      </xdr:nvSpPr>
      <xdr:spPr>
        <a:xfrm>
          <a:off x="6408420" y="85808820"/>
          <a:ext cx="5974081" cy="2415540"/>
        </a:xfrm>
        <a:prstGeom prst="rect">
          <a:avLst/>
        </a:prstGeom>
        <a:solidFill>
          <a:srgbClr val="E1FFEB"/>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Divisive politics tends to be </a:t>
          </a:r>
          <a:r>
            <a:rPr lang="en-US" sz="1200" b="1" baseline="0">
              <a:solidFill>
                <a:schemeClr val="dk1"/>
              </a:solidFill>
              <a:latin typeface="Cambria" panose="02040503050406030204" pitchFamily="18" charset="0"/>
              <a:ea typeface="Cambria" panose="02040503050406030204" pitchFamily="18" charset="0"/>
              <a:cs typeface="+mn-cs"/>
            </a:rPr>
            <a:t>FAKE</a:t>
          </a:r>
          <a:r>
            <a:rPr lang="en-US" sz="1200" baseline="0">
              <a:solidFill>
                <a:schemeClr val="dk1"/>
              </a:solidFill>
              <a:latin typeface="Cambria" panose="02040503050406030204" pitchFamily="18" charset="0"/>
              <a:ea typeface="Cambria" panose="02040503050406030204" pitchFamily="18" charset="0"/>
              <a:cs typeface="+mn-cs"/>
            </a:rPr>
            <a:t>, </a:t>
          </a:r>
          <a:r>
            <a:rPr lang="en-US" sz="1200" b="1" baseline="0">
              <a:solidFill>
                <a:schemeClr val="dk1"/>
              </a:solidFill>
              <a:latin typeface="Cambria" panose="02040503050406030204" pitchFamily="18" charset="0"/>
              <a:ea typeface="Cambria" panose="02040503050406030204" pitchFamily="18" charset="0"/>
              <a:cs typeface="+mn-cs"/>
            </a:rPr>
            <a:t>f</a:t>
          </a:r>
          <a:r>
            <a:rPr lang="en-US" sz="1200" baseline="0">
              <a:solidFill>
                <a:schemeClr val="dk1"/>
              </a:solidFill>
              <a:latin typeface="Cambria" panose="02040503050406030204" pitchFamily="18" charset="0"/>
              <a:ea typeface="Cambria" panose="02040503050406030204" pitchFamily="18" charset="0"/>
              <a:cs typeface="+mn-cs"/>
            </a:rPr>
            <a:t>reely </a:t>
          </a:r>
          <a:r>
            <a:rPr lang="en-US" sz="1200" b="1" baseline="0">
              <a:solidFill>
                <a:schemeClr val="dk1"/>
              </a:solidFill>
              <a:latin typeface="Cambria" panose="02040503050406030204" pitchFamily="18" charset="0"/>
              <a:ea typeface="Cambria" panose="02040503050406030204" pitchFamily="18" charset="0"/>
              <a:cs typeface="+mn-cs"/>
            </a:rPr>
            <a:t>a</a:t>
          </a:r>
          <a:r>
            <a:rPr lang="en-US" sz="1200" baseline="0">
              <a:solidFill>
                <a:schemeClr val="dk1"/>
              </a:solidFill>
              <a:latin typeface="Cambria" panose="02040503050406030204" pitchFamily="18" charset="0"/>
              <a:ea typeface="Cambria" panose="02040503050406030204" pitchFamily="18" charset="0"/>
              <a:cs typeface="+mn-cs"/>
            </a:rPr>
            <a:t>nd </a:t>
          </a:r>
          <a:r>
            <a:rPr lang="en-US" sz="1200" b="1" baseline="0">
              <a:solidFill>
                <a:schemeClr val="dk1"/>
              </a:solidFill>
              <a:latin typeface="Cambria" panose="02040503050406030204" pitchFamily="18" charset="0"/>
              <a:ea typeface="Cambria" panose="02040503050406030204" pitchFamily="18" charset="0"/>
              <a:cs typeface="+mn-cs"/>
            </a:rPr>
            <a:t>k</a:t>
          </a:r>
          <a:r>
            <a:rPr lang="en-US" sz="1200" baseline="0">
              <a:solidFill>
                <a:schemeClr val="dk1"/>
              </a:solidFill>
              <a:latin typeface="Cambria" panose="02040503050406030204" pitchFamily="18" charset="0"/>
              <a:ea typeface="Cambria" panose="02040503050406030204" pitchFamily="18" charset="0"/>
              <a:cs typeface="+mn-cs"/>
            </a:rPr>
            <a:t>nowingly </a:t>
          </a:r>
          <a:r>
            <a:rPr lang="en-US" sz="1200" b="1" baseline="0">
              <a:solidFill>
                <a:schemeClr val="dk1"/>
              </a:solidFill>
              <a:latin typeface="Cambria" panose="02040503050406030204" pitchFamily="18" charset="0"/>
              <a:ea typeface="Cambria" panose="02040503050406030204" pitchFamily="18" charset="0"/>
              <a:cs typeface="+mn-cs"/>
            </a:rPr>
            <a:t>e</a:t>
          </a:r>
          <a:r>
            <a:rPr lang="en-US" sz="1200" baseline="0">
              <a:solidFill>
                <a:schemeClr val="dk1"/>
              </a:solidFill>
              <a:latin typeface="Cambria" panose="02040503050406030204" pitchFamily="18" charset="0"/>
              <a:ea typeface="Cambria" panose="02040503050406030204" pitchFamily="18" charset="0"/>
              <a:cs typeface="+mn-cs"/>
            </a:rPr>
            <a:t>xaggerated. Politics serves better as a window than a door. You can peer in with its broad generalizations, but cannot enter into meaningful solutions without first shifting to applicable specifics. Too often, politics fails to become that stepping stone to relevant specifics. Too often, politics hardens into stumbling blocks of self-serving exaggerations.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Divisive politics lets you judge the other side by its most exaggerated generalizations. Then it upholds your side by casting its most exaggerated genralizations as mere aberration. Divisive politics tempts your client to view those arguing to [AO1117] as an example of the other side, while characterizing anyone on the client's side who argues to [AN1117] as merely an exception to your client side's sound arguments. </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editAs="oneCell">
    <xdr:from>
      <xdr:col>25</xdr:col>
      <xdr:colOff>385018</xdr:colOff>
      <xdr:row>320</xdr:row>
      <xdr:rowOff>0</xdr:rowOff>
    </xdr:from>
    <xdr:to>
      <xdr:col>31</xdr:col>
      <xdr:colOff>433028</xdr:colOff>
      <xdr:row>328</xdr:row>
      <xdr:rowOff>129540</xdr:rowOff>
    </xdr:to>
    <xdr:pic>
      <xdr:nvPicPr>
        <xdr:cNvPr id="797" name="ballot box, clear" hidden="1">
          <a:extLst>
            <a:ext uri="{FF2B5EF4-FFF2-40B4-BE49-F238E27FC236}">
              <a16:creationId xmlns:a16="http://schemas.microsoft.com/office/drawing/2014/main" id="{00000000-0008-0000-0100-00001D03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792158" y="66240660"/>
          <a:ext cx="2650448" cy="2087880"/>
        </a:xfrm>
        <a:prstGeom prst="rect">
          <a:avLst/>
        </a:prstGeom>
      </xdr:spPr>
    </xdr:pic>
    <xdr:clientData/>
  </xdr:twoCellAnchor>
  <xdr:twoCellAnchor editAs="oneCell">
    <xdr:from>
      <xdr:col>18</xdr:col>
      <xdr:colOff>29865</xdr:colOff>
      <xdr:row>350</xdr:row>
      <xdr:rowOff>205740</xdr:rowOff>
    </xdr:from>
    <xdr:to>
      <xdr:col>30</xdr:col>
      <xdr:colOff>566111</xdr:colOff>
      <xdr:row>358</xdr:row>
      <xdr:rowOff>228873</xdr:rowOff>
    </xdr:to>
    <xdr:pic>
      <xdr:nvPicPr>
        <xdr:cNvPr id="798" name="overgen yield sign" hidden="1">
          <a:extLst>
            <a:ext uri="{FF2B5EF4-FFF2-40B4-BE49-F238E27FC236}">
              <a16:creationId xmlns:a16="http://schemas.microsoft.com/office/drawing/2014/main" id="{00000000-0008-0000-0100-00001E03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916565" y="73731120"/>
          <a:ext cx="2044391" cy="1813833"/>
        </a:xfrm>
        <a:prstGeom prst="rect">
          <a:avLst/>
        </a:prstGeom>
      </xdr:spPr>
    </xdr:pic>
    <xdr:clientData/>
  </xdr:twoCellAnchor>
  <xdr:twoCellAnchor>
    <xdr:from>
      <xdr:col>0</xdr:col>
      <xdr:colOff>99060</xdr:colOff>
      <xdr:row>366</xdr:row>
      <xdr:rowOff>182880</xdr:rowOff>
    </xdr:from>
    <xdr:to>
      <xdr:col>12</xdr:col>
      <xdr:colOff>373380</xdr:colOff>
      <xdr:row>372</xdr:row>
      <xdr:rowOff>91440</xdr:rowOff>
    </xdr:to>
    <xdr:grpSp>
      <xdr:nvGrpSpPr>
        <xdr:cNvPr id="821" name="overgeneralizing arguments">
          <a:extLst>
            <a:ext uri="{FF2B5EF4-FFF2-40B4-BE49-F238E27FC236}">
              <a16:creationId xmlns:a16="http://schemas.microsoft.com/office/drawing/2014/main" id="{00000000-0008-0000-0100-000035030000}"/>
            </a:ext>
          </a:extLst>
        </xdr:cNvPr>
        <xdr:cNvGrpSpPr/>
      </xdr:nvGrpSpPr>
      <xdr:grpSpPr>
        <a:xfrm>
          <a:off x="99060" y="88452960"/>
          <a:ext cx="5920740" cy="1737360"/>
          <a:chOff x="152400" y="70363080"/>
          <a:chExt cx="5920740" cy="1836420"/>
        </a:xfrm>
      </xdr:grpSpPr>
      <xdr:sp macro="" textlink="">
        <xdr:nvSpPr>
          <xdr:cNvPr id="819" name="Rectangle: Rounded Corners 818">
            <a:extLst>
              <a:ext uri="{FF2B5EF4-FFF2-40B4-BE49-F238E27FC236}">
                <a16:creationId xmlns:a16="http://schemas.microsoft.com/office/drawing/2014/main" id="{00000000-0008-0000-0100-000033030000}"/>
              </a:ext>
            </a:extLst>
          </xdr:cNvPr>
          <xdr:cNvSpPr/>
        </xdr:nvSpPr>
        <xdr:spPr>
          <a:xfrm>
            <a:off x="152400" y="70363080"/>
            <a:ext cx="5920740" cy="1836420"/>
          </a:xfrm>
          <a:prstGeom prst="roundRect">
            <a:avLst>
              <a:gd name="adj" fmla="val 50000"/>
            </a:avLst>
          </a:prstGeom>
          <a:gradFill flip="none" rotWithShape="1">
            <a:gsLst>
              <a:gs pos="0">
                <a:srgbClr val="002060"/>
              </a:gs>
              <a:gs pos="100000">
                <a:srgbClr val="910000"/>
              </a:gs>
            </a:gsLst>
            <a:lin ang="0" scaled="1"/>
            <a:tileRect/>
          </a:gra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US" sz="1100"/>
          </a:p>
        </xdr:txBody>
      </xdr:sp>
      <xdr:sp macro="" textlink="">
        <xdr:nvSpPr>
          <xdr:cNvPr id="800" name="Rectangle: Rounded Corners 799">
            <a:extLst>
              <a:ext uri="{FF2B5EF4-FFF2-40B4-BE49-F238E27FC236}">
                <a16:creationId xmlns:a16="http://schemas.microsoft.com/office/drawing/2014/main" id="{00000000-0008-0000-0100-000020030000}"/>
              </a:ext>
            </a:extLst>
          </xdr:cNvPr>
          <xdr:cNvSpPr/>
        </xdr:nvSpPr>
        <xdr:spPr>
          <a:xfrm>
            <a:off x="152400" y="70698360"/>
            <a:ext cx="5920740" cy="1188720"/>
          </a:xfrm>
          <a:prstGeom prst="roundRect">
            <a:avLst>
              <a:gd name="adj" fmla="val 50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US" sz="1100"/>
          </a:p>
        </xdr:txBody>
      </xdr:sp>
      <xdr:pic>
        <xdr:nvPicPr>
          <xdr:cNvPr id="801" name="liberal in blue">
            <a:extLst>
              <a:ext uri="{FF2B5EF4-FFF2-40B4-BE49-F238E27FC236}">
                <a16:creationId xmlns:a16="http://schemas.microsoft.com/office/drawing/2014/main" id="{00000000-0008-0000-0100-00002103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19621" y="70492200"/>
            <a:ext cx="723665" cy="1595400"/>
          </a:xfrm>
          <a:prstGeom prst="rect">
            <a:avLst/>
          </a:prstGeom>
        </xdr:spPr>
      </xdr:pic>
      <xdr:pic>
        <xdr:nvPicPr>
          <xdr:cNvPr id="802" name="conservative in red">
            <a:extLst>
              <a:ext uri="{FF2B5EF4-FFF2-40B4-BE49-F238E27FC236}">
                <a16:creationId xmlns:a16="http://schemas.microsoft.com/office/drawing/2014/main" id="{00000000-0008-0000-0100-00002203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942560" y="70482180"/>
            <a:ext cx="1007841" cy="1595400"/>
          </a:xfrm>
          <a:prstGeom prst="rect">
            <a:avLst/>
          </a:prstGeom>
        </xdr:spPr>
      </xdr:pic>
      <xdr:pic>
        <xdr:nvPicPr>
          <xdr:cNvPr id="814" name="overgen statements">
            <a:extLst>
              <a:ext uri="{FF2B5EF4-FFF2-40B4-BE49-F238E27FC236}">
                <a16:creationId xmlns:a16="http://schemas.microsoft.com/office/drawing/2014/main" id="{00000000-0008-0000-0100-00002E03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933080" y="70703580"/>
            <a:ext cx="2395080" cy="1197540"/>
          </a:xfrm>
          <a:prstGeom prst="rect">
            <a:avLst/>
          </a:prstGeom>
        </xdr:spPr>
      </xdr:pic>
      <xdr:pic>
        <xdr:nvPicPr>
          <xdr:cNvPr id="803" name="arguing triggers defensive...">
            <a:extLst>
              <a:ext uri="{FF2B5EF4-FFF2-40B4-BE49-F238E27FC236}">
                <a16:creationId xmlns:a16="http://schemas.microsoft.com/office/drawing/2014/main" id="{00000000-0008-0000-0100-00002303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54380" y="70395192"/>
            <a:ext cx="4549140" cy="1804308"/>
          </a:xfrm>
          <a:prstGeom prst="rect">
            <a:avLst/>
          </a:prstGeom>
        </xdr:spPr>
      </xdr:pic>
    </xdr:grpSp>
    <xdr:clientData/>
  </xdr:twoCellAnchor>
  <xdr:twoCellAnchor>
    <xdr:from>
      <xdr:col>15</xdr:col>
      <xdr:colOff>22860</xdr:colOff>
      <xdr:row>373</xdr:row>
      <xdr:rowOff>45720</xdr:rowOff>
    </xdr:from>
    <xdr:to>
      <xdr:col>26</xdr:col>
      <xdr:colOff>434340</xdr:colOff>
      <xdr:row>383</xdr:row>
      <xdr:rowOff>22860</xdr:rowOff>
    </xdr:to>
    <xdr:sp macro="" textlink="">
      <xdr:nvSpPr>
        <xdr:cNvPr id="822" name="TextBox 821">
          <a:extLst>
            <a:ext uri="{FF2B5EF4-FFF2-40B4-BE49-F238E27FC236}">
              <a16:creationId xmlns:a16="http://schemas.microsoft.com/office/drawing/2014/main" id="{00000000-0008-0000-0100-000036030000}"/>
            </a:ext>
          </a:extLst>
        </xdr:cNvPr>
        <xdr:cNvSpPr txBox="1"/>
      </xdr:nvSpPr>
      <xdr:spPr>
        <a:xfrm>
          <a:off x="6400800" y="72565260"/>
          <a:ext cx="5943600" cy="24917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Any attachment your client has to political generalizations is likely fueled by pain of unresolved needs. Instead of challenging your client's generalizing, invite them to get a little more specific. If they support the view to [AN1117], or something like it, ask what that would do for them if allowed to come to past. Would that satisfy their apparent need for [AK1117]?</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stepping gradually away from trusted generalizations is called </a:t>
          </a:r>
          <a:r>
            <a:rPr lang="en-US" sz="1200" b="1" baseline="0">
              <a:solidFill>
                <a:schemeClr val="dk1"/>
              </a:solidFill>
              <a:latin typeface="Cambria" panose="02040503050406030204" pitchFamily="18" charset="0"/>
              <a:ea typeface="Cambria" panose="02040503050406030204" pitchFamily="18" charset="0"/>
              <a:cs typeface="+mn-cs"/>
            </a:rPr>
            <a:t>degeneralizing</a:t>
          </a:r>
          <a:r>
            <a:rPr lang="en-US" sz="1200" baseline="0">
              <a:solidFill>
                <a:schemeClr val="dk1"/>
              </a:solidFill>
              <a:latin typeface="Cambria" panose="02040503050406030204" pitchFamily="18" charset="0"/>
              <a:ea typeface="Cambria" panose="02040503050406030204" pitchFamily="18" charset="0"/>
              <a:cs typeface="+mn-cs"/>
            </a:rPr>
            <a:t>. Instead of bouncing back and forth between generalizations, you guide their transition from trusted generalizing to something a little less general. You support their shift from pain-avoiding generalizations to need-resolving specifics, one gentle step at a time. You add some disinfecting sunlight to what fuels their exaggerations, their unresolved needs. You help them remove the poison of alienation.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60960</xdr:colOff>
      <xdr:row>451</xdr:row>
      <xdr:rowOff>182880</xdr:rowOff>
    </xdr:from>
    <xdr:to>
      <xdr:col>26</xdr:col>
      <xdr:colOff>472440</xdr:colOff>
      <xdr:row>457</xdr:row>
      <xdr:rowOff>152400</xdr:rowOff>
    </xdr:to>
    <xdr:sp macro="" textlink="">
      <xdr:nvSpPr>
        <xdr:cNvPr id="823" name="TextBox 822">
          <a:extLst>
            <a:ext uri="{FF2B5EF4-FFF2-40B4-BE49-F238E27FC236}">
              <a16:creationId xmlns:a16="http://schemas.microsoft.com/office/drawing/2014/main" id="{00000000-0008-0000-0100-000037030000}"/>
            </a:ext>
          </a:extLst>
        </xdr:cNvPr>
        <xdr:cNvSpPr txBox="1"/>
      </xdr:nvSpPr>
      <xdr:spPr>
        <a:xfrm>
          <a:off x="6438900" y="108264960"/>
          <a:ext cx="5943600" cy="13030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going deeper to connect both sides is called </a:t>
          </a:r>
          <a:r>
            <a:rPr lang="en-US" sz="1200" b="1" baseline="0">
              <a:solidFill>
                <a:schemeClr val="dk1"/>
              </a:solidFill>
              <a:latin typeface="Cambria" panose="02040503050406030204" pitchFamily="18" charset="0"/>
              <a:ea typeface="Cambria" panose="02040503050406030204" pitchFamily="18" charset="0"/>
              <a:cs typeface="+mn-cs"/>
            </a:rPr>
            <a:t>dealienating</a:t>
          </a:r>
          <a:r>
            <a:rPr lang="en-US" sz="1200" baseline="0">
              <a:solidFill>
                <a:schemeClr val="dk1"/>
              </a:solidFill>
              <a:latin typeface="Cambria" panose="02040503050406030204" pitchFamily="18" charset="0"/>
              <a:ea typeface="Cambria" panose="02040503050406030204" pitchFamily="18" charset="0"/>
              <a:cs typeface="+mn-cs"/>
            </a:rPr>
            <a:t>. Instead of settling for alienating norms, you guide your client to transition from disappointing expectations of others to knowing what you can actually do for each other. You support their shift from normative alienation to mutual expression of affected needs. You help them upend the status quo of political leaders dictating what they should believe and do. You help them reverse the trap of sliding into political polarization.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0</xdr:colOff>
      <xdr:row>302</xdr:row>
      <xdr:rowOff>15240</xdr:rowOff>
    </xdr:from>
    <xdr:to>
      <xdr:col>26</xdr:col>
      <xdr:colOff>411480</xdr:colOff>
      <xdr:row>307</xdr:row>
      <xdr:rowOff>152400</xdr:rowOff>
    </xdr:to>
    <xdr:sp macro="" textlink="">
      <xdr:nvSpPr>
        <xdr:cNvPr id="824" name="TextBox 823">
          <a:extLst>
            <a:ext uri="{FF2B5EF4-FFF2-40B4-BE49-F238E27FC236}">
              <a16:creationId xmlns:a16="http://schemas.microsoft.com/office/drawing/2014/main" id="{00000000-0008-0000-0100-000038030000}"/>
            </a:ext>
          </a:extLst>
        </xdr:cNvPr>
        <xdr:cNvSpPr txBox="1"/>
      </xdr:nvSpPr>
      <xdr:spPr>
        <a:xfrm>
          <a:off x="6377940" y="73715880"/>
          <a:ext cx="5943600" cy="120396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Popular politics tempts us to be disivisive. We are told we must each take a packaged side, generalizations and all. We are to skip any nuance to hold our coalition together. Staying neutral, they say, makes us complicit with the wrong side. We must fight for what we know is right, after accepting the generalization that others with an opposing priority of needs must be wrong. But you realize soon enough how opposing what another needs does not extinguish moral conflict, but enflames it.</a:t>
          </a:r>
        </a:p>
      </xdr:txBody>
    </xdr:sp>
    <xdr:clientData/>
  </xdr:twoCellAnchor>
  <xdr:twoCellAnchor>
    <xdr:from>
      <xdr:col>15</xdr:col>
      <xdr:colOff>22860</xdr:colOff>
      <xdr:row>530</xdr:row>
      <xdr:rowOff>38100</xdr:rowOff>
    </xdr:from>
    <xdr:to>
      <xdr:col>26</xdr:col>
      <xdr:colOff>434340</xdr:colOff>
      <xdr:row>536</xdr:row>
      <xdr:rowOff>0</xdr:rowOff>
    </xdr:to>
    <xdr:sp macro="" textlink="">
      <xdr:nvSpPr>
        <xdr:cNvPr id="831" name="TextBox 830">
          <a:extLst>
            <a:ext uri="{FF2B5EF4-FFF2-40B4-BE49-F238E27FC236}">
              <a16:creationId xmlns:a16="http://schemas.microsoft.com/office/drawing/2014/main" id="{00000000-0008-0000-0100-00003F030000}"/>
            </a:ext>
          </a:extLst>
        </xdr:cNvPr>
        <xdr:cNvSpPr txBox="1"/>
      </xdr:nvSpPr>
      <xdr:spPr>
        <a:xfrm>
          <a:off x="6400800" y="125288040"/>
          <a:ext cx="5943600" cy="12801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conciliating both sides is called </a:t>
          </a:r>
          <a:r>
            <a:rPr lang="en-US" sz="1200" b="1" baseline="0">
              <a:solidFill>
                <a:schemeClr val="dk1"/>
              </a:solidFill>
              <a:latin typeface="Cambria" panose="02040503050406030204" pitchFamily="18" charset="0"/>
              <a:ea typeface="Cambria" panose="02040503050406030204" pitchFamily="18" charset="0"/>
              <a:cs typeface="+mn-cs"/>
            </a:rPr>
            <a:t>depolarizing</a:t>
          </a:r>
          <a:r>
            <a:rPr lang="en-US" sz="1200" baseline="0">
              <a:solidFill>
                <a:schemeClr val="dk1"/>
              </a:solidFill>
              <a:latin typeface="Cambria" panose="02040503050406030204" pitchFamily="18" charset="0"/>
              <a:ea typeface="Cambria" panose="02040503050406030204" pitchFamily="18" charset="0"/>
              <a:cs typeface="+mn-cs"/>
            </a:rPr>
            <a:t>. Instead of pitting one side's priority of needs against the other's priority of needs, you guide your client to recognize the pressing needs on both sides of the issue. You support their shift from </a:t>
          </a:r>
          <a:r>
            <a:rPr lang="en-US" sz="1200" i="1" baseline="0">
              <a:solidFill>
                <a:schemeClr val="dk1"/>
              </a:solidFill>
              <a:latin typeface="Cambria" panose="02040503050406030204" pitchFamily="18" charset="0"/>
              <a:ea typeface="Cambria" panose="02040503050406030204" pitchFamily="18" charset="0"/>
              <a:cs typeface="+mn-cs"/>
            </a:rPr>
            <a:t>mutual hostilities </a:t>
          </a:r>
          <a:r>
            <a:rPr lang="en-US" sz="1200" baseline="0">
              <a:solidFill>
                <a:schemeClr val="dk1"/>
              </a:solidFill>
              <a:latin typeface="Cambria" panose="02040503050406030204" pitchFamily="18" charset="0"/>
              <a:ea typeface="Cambria" panose="02040503050406030204" pitchFamily="18" charset="0"/>
              <a:cs typeface="+mn-cs"/>
            </a:rPr>
            <a:t>to </a:t>
          </a:r>
          <a:r>
            <a:rPr lang="en-US" sz="1200" b="0" i="1" baseline="0">
              <a:solidFill>
                <a:schemeClr val="dk1"/>
              </a:solidFill>
              <a:latin typeface="Cambria" panose="02040503050406030204" pitchFamily="18" charset="0"/>
              <a:ea typeface="Cambria" panose="02040503050406030204" pitchFamily="18" charset="0"/>
              <a:cs typeface="+mn-cs"/>
            </a:rPr>
            <a:t>mutual resolution of relevant needs</a:t>
          </a:r>
          <a:r>
            <a:rPr lang="en-US" sz="1200" baseline="0">
              <a:solidFill>
                <a:schemeClr val="dk1"/>
              </a:solidFill>
              <a:latin typeface="Cambria" panose="02040503050406030204" pitchFamily="18" charset="0"/>
              <a:ea typeface="Cambria" panose="02040503050406030204" pitchFamily="18" charset="0"/>
              <a:cs typeface="+mn-cs"/>
            </a:rPr>
            <a:t>. You help them connect resolution of their publicly affected needs with the other side being able to resolve their publicly affected needs. You help them spread some need-resolving love.</a:t>
          </a:r>
        </a:p>
        <a:p>
          <a:endParaRPr lang="en-US" sz="1200" baseline="0">
            <a:latin typeface="Cambria" panose="02040503050406030204" pitchFamily="18" charset="0"/>
            <a:ea typeface="Cambria" panose="02040503050406030204" pitchFamily="18" charset="0"/>
          </a:endParaRPr>
        </a:p>
      </xdr:txBody>
    </xdr:sp>
    <xdr:clientData/>
  </xdr:twoCellAnchor>
  <xdr:twoCellAnchor editAs="oneCell">
    <xdr:from>
      <xdr:col>1</xdr:col>
      <xdr:colOff>22860</xdr:colOff>
      <xdr:row>520</xdr:row>
      <xdr:rowOff>0</xdr:rowOff>
    </xdr:from>
    <xdr:to>
      <xdr:col>12</xdr:col>
      <xdr:colOff>480060</xdr:colOff>
      <xdr:row>530</xdr:row>
      <xdr:rowOff>7621</xdr:rowOff>
    </xdr:to>
    <xdr:pic>
      <xdr:nvPicPr>
        <xdr:cNvPr id="834" name="Picture 833">
          <a:extLst>
            <a:ext uri="{FF2B5EF4-FFF2-40B4-BE49-F238E27FC236}">
              <a16:creationId xmlns:a16="http://schemas.microsoft.com/office/drawing/2014/main" id="{00000000-0008-0000-0100-000042030000}"/>
            </a:ext>
          </a:extLst>
        </xdr:cNvPr>
        <xdr:cNvPicPr>
          <a:picLocks noChangeAspect="1"/>
        </xdr:cNvPicPr>
      </xdr:nvPicPr>
      <xdr:blipFill>
        <a:blip xmlns:r="http://schemas.openxmlformats.org/officeDocument/2006/relationships" r:embed="rId16"/>
        <a:stretch>
          <a:fillRect/>
        </a:stretch>
      </xdr:blipFill>
      <xdr:spPr>
        <a:xfrm>
          <a:off x="137160" y="123238260"/>
          <a:ext cx="5989320" cy="2331721"/>
        </a:xfrm>
        <a:prstGeom prst="rect">
          <a:avLst/>
        </a:prstGeom>
        <a:effectLst>
          <a:outerShdw blurRad="50800" dist="38100" dir="5400000" algn="t" rotWithShape="0">
            <a:prstClr val="black">
              <a:alpha val="40000"/>
            </a:prstClr>
          </a:outerShdw>
        </a:effectLst>
      </xdr:spPr>
    </xdr:pic>
    <xdr:clientData/>
  </xdr:twoCellAnchor>
  <xdr:twoCellAnchor>
    <xdr:from>
      <xdr:col>15</xdr:col>
      <xdr:colOff>30480</xdr:colOff>
      <xdr:row>117</xdr:row>
      <xdr:rowOff>0</xdr:rowOff>
    </xdr:from>
    <xdr:to>
      <xdr:col>26</xdr:col>
      <xdr:colOff>441960</xdr:colOff>
      <xdr:row>123</xdr:row>
      <xdr:rowOff>114300</xdr:rowOff>
    </xdr:to>
    <xdr:sp macro="" textlink="">
      <xdr:nvSpPr>
        <xdr:cNvPr id="846" name="TextBox 845">
          <a:extLst>
            <a:ext uri="{FF2B5EF4-FFF2-40B4-BE49-F238E27FC236}">
              <a16:creationId xmlns:a16="http://schemas.microsoft.com/office/drawing/2014/main" id="{00000000-0008-0000-0100-00004E030000}"/>
            </a:ext>
          </a:extLst>
        </xdr:cNvPr>
        <xdr:cNvSpPr txBox="1"/>
      </xdr:nvSpPr>
      <xdr:spPr>
        <a:xfrm>
          <a:off x="6408420" y="32004000"/>
          <a:ext cx="5943600" cy="15316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Politics runs thick with generalizing. Your specific experiences in life may resist fitting neatly into the liberal-conservative divide. Your client may also defy simple categorizing. A client may present a liberal position on one issue and a more conservative stance on other issues. After engaging others of an opposing political side and empathizing with their affected needs, your client may shift their position. Your client may be processing their feelings and beliefs about a hot botton issue right now, using you as a sounding board. With all that in mind, let this serve as a rule of thumb. Let us move beyond popular politics. </a:t>
          </a:r>
        </a:p>
        <a:p>
          <a:endParaRPr lang="en-US" sz="1050" baseline="0">
            <a:solidFill>
              <a:schemeClr val="dk1"/>
            </a:solidFill>
            <a:latin typeface="Arial Narrow" panose="020B0606020202030204" pitchFamily="34" charset="0"/>
            <a:ea typeface="+mn-ea"/>
            <a:cs typeface="+mn-cs"/>
          </a:endParaRPr>
        </a:p>
      </xdr:txBody>
    </xdr:sp>
    <xdr:clientData/>
  </xdr:twoCellAnchor>
  <xdr:oneCellAnchor>
    <xdr:from>
      <xdr:col>0</xdr:col>
      <xdr:colOff>64628</xdr:colOff>
      <xdr:row>22</xdr:row>
      <xdr:rowOff>136975</xdr:rowOff>
    </xdr:from>
    <xdr:ext cx="5943600" cy="998405"/>
    <xdr:sp macro="" textlink="">
      <xdr:nvSpPr>
        <xdr:cNvPr id="847" name="Rectangle 846">
          <a:hlinkClick xmlns:r="http://schemas.openxmlformats.org/officeDocument/2006/relationships" r:id="rId17" tooltip="to next page"/>
          <a:extLst>
            <a:ext uri="{FF2B5EF4-FFF2-40B4-BE49-F238E27FC236}">
              <a16:creationId xmlns:a16="http://schemas.microsoft.com/office/drawing/2014/main" id="{00000000-0008-0000-0100-00004F030000}"/>
            </a:ext>
          </a:extLst>
        </xdr:cNvPr>
        <xdr:cNvSpPr/>
      </xdr:nvSpPr>
      <xdr:spPr>
        <a:xfrm>
          <a:off x="64628" y="8572315"/>
          <a:ext cx="5943600" cy="998405"/>
        </a:xfrm>
        <a:prstGeom prst="rect">
          <a:avLst/>
        </a:prstGeom>
        <a:noFill/>
      </xdr:spPr>
      <xdr:txBody>
        <a:bodyPr wrap="square" lIns="91440" tIns="45720" rIns="91440" bIns="45720">
          <a:noAutofit/>
        </a:bodyPr>
        <a:lstStyle/>
        <a:p>
          <a:pPr algn="l">
            <a:spcAft>
              <a:spcPts val="600"/>
            </a:spcAft>
          </a:pPr>
          <a:r>
            <a:rPr lang="en-US" sz="24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What can this do for</a:t>
          </a:r>
          <a:r>
            <a:rPr lang="en-US" sz="2400" b="1"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as a counselor?</a:t>
          </a:r>
          <a:endParaRPr lang="en-US" sz="32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spcBef>
              <a:spcPts val="600"/>
            </a:spcBef>
            <a:spcAft>
              <a:spcPts val="600"/>
            </a:spcAft>
          </a:pP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Translate your client's political views into their sensitive needs.</a:t>
          </a:r>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0</xdr:col>
      <xdr:colOff>82926</xdr:colOff>
      <xdr:row>480</xdr:row>
      <xdr:rowOff>259103</xdr:rowOff>
    </xdr:from>
    <xdr:to>
      <xdr:col>13</xdr:col>
      <xdr:colOff>24356</xdr:colOff>
      <xdr:row>485</xdr:row>
      <xdr:rowOff>134135</xdr:rowOff>
    </xdr:to>
    <xdr:grpSp>
      <xdr:nvGrpSpPr>
        <xdr:cNvPr id="1205" name="Group 1204">
          <a:extLst>
            <a:ext uri="{FF2B5EF4-FFF2-40B4-BE49-F238E27FC236}">
              <a16:creationId xmlns:a16="http://schemas.microsoft.com/office/drawing/2014/main" id="{00000000-0008-0000-0100-0000B5040000}"/>
            </a:ext>
          </a:extLst>
        </xdr:cNvPr>
        <xdr:cNvGrpSpPr/>
      </xdr:nvGrpSpPr>
      <xdr:grpSpPr>
        <a:xfrm>
          <a:off x="82926" y="114856283"/>
          <a:ext cx="6090770" cy="850392"/>
          <a:chOff x="83820" y="97465892"/>
          <a:chExt cx="6088380" cy="1228348"/>
        </a:xfrm>
      </xdr:grpSpPr>
      <xdr:pic>
        <xdr:nvPicPr>
          <xdr:cNvPr id="927" name="Picture 926">
            <a:extLst>
              <a:ext uri="{FF2B5EF4-FFF2-40B4-BE49-F238E27FC236}">
                <a16:creationId xmlns:a16="http://schemas.microsoft.com/office/drawing/2014/main" id="{00000000-0008-0000-0100-00009F03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401387" y="97478732"/>
            <a:ext cx="747952" cy="1120074"/>
          </a:xfrm>
          <a:prstGeom prst="rect">
            <a:avLst/>
          </a:prstGeom>
        </xdr:spPr>
      </xdr:pic>
      <xdr:pic>
        <xdr:nvPicPr>
          <xdr:cNvPr id="926" name="Picture 925">
            <a:extLst>
              <a:ext uri="{FF2B5EF4-FFF2-40B4-BE49-F238E27FC236}">
                <a16:creationId xmlns:a16="http://schemas.microsoft.com/office/drawing/2014/main" id="{00000000-0008-0000-0100-00009E03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44769" y="97465892"/>
            <a:ext cx="754965" cy="1120074"/>
          </a:xfrm>
          <a:prstGeom prst="rect">
            <a:avLst/>
          </a:prstGeom>
        </xdr:spPr>
      </xdr:pic>
      <xdr:grpSp>
        <xdr:nvGrpSpPr>
          <xdr:cNvPr id="851" name="Group 850">
            <a:extLst>
              <a:ext uri="{FF2B5EF4-FFF2-40B4-BE49-F238E27FC236}">
                <a16:creationId xmlns:a16="http://schemas.microsoft.com/office/drawing/2014/main" id="{00000000-0008-0000-0100-000053030000}"/>
              </a:ext>
            </a:extLst>
          </xdr:cNvPr>
          <xdr:cNvGrpSpPr/>
        </xdr:nvGrpSpPr>
        <xdr:grpSpPr>
          <a:xfrm>
            <a:off x="83820" y="97467420"/>
            <a:ext cx="6088380" cy="1226820"/>
            <a:chOff x="83820" y="97322640"/>
            <a:chExt cx="6088380" cy="1226820"/>
          </a:xfrm>
        </xdr:grpSpPr>
        <xdr:pic>
          <xdr:nvPicPr>
            <xdr:cNvPr id="848" name="Picture 847">
              <a:extLst>
                <a:ext uri="{FF2B5EF4-FFF2-40B4-BE49-F238E27FC236}">
                  <a16:creationId xmlns:a16="http://schemas.microsoft.com/office/drawing/2014/main" id="{00000000-0008-0000-0100-00005003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946538" y="97322640"/>
              <a:ext cx="1012518" cy="1143000"/>
            </a:xfrm>
            <a:prstGeom prst="rect">
              <a:avLst/>
            </a:prstGeom>
          </xdr:spPr>
        </xdr:pic>
        <xdr:pic>
          <xdr:nvPicPr>
            <xdr:cNvPr id="849" name="Picture 848">
              <a:extLst>
                <a:ext uri="{FF2B5EF4-FFF2-40B4-BE49-F238E27FC236}">
                  <a16:creationId xmlns:a16="http://schemas.microsoft.com/office/drawing/2014/main" id="{00000000-0008-0000-0100-00005103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310641" y="97335480"/>
              <a:ext cx="1005856" cy="1143000"/>
            </a:xfrm>
            <a:prstGeom prst="rect">
              <a:avLst/>
            </a:prstGeom>
          </xdr:spPr>
        </xdr:pic>
        <xdr:pic>
          <xdr:nvPicPr>
            <xdr:cNvPr id="850" name="Picture 849" descr="Bridge, Water, River, Crossing, Limit, Danube, Stream">
              <a:extLst>
                <a:ext uri="{FF2B5EF4-FFF2-40B4-BE49-F238E27FC236}">
                  <a16:creationId xmlns:a16="http://schemas.microsoft.com/office/drawing/2014/main" id="{00000000-0008-0000-0100-000052030000}"/>
                </a:ext>
              </a:extLst>
            </xdr:cNvPr>
            <xdr:cNvPicPr>
              <a:picLocks noChangeAspect="1" noChangeArrowheads="1"/>
            </xdr:cNvPicPr>
          </xdr:nvPicPr>
          <xdr:blipFill rotWithShape="1">
            <a:blip xmlns:r="http://schemas.openxmlformats.org/officeDocument/2006/relationships" r:embed="rId22">
              <a:duotone>
                <a:prstClr val="black"/>
                <a:srgbClr val="FFCCFF">
                  <a:tint val="45000"/>
                  <a:satMod val="400000"/>
                </a:srgbClr>
              </a:duotone>
              <a:extLst>
                <a:ext uri="{28A0092B-C50C-407E-A947-70E740481C1C}">
                  <a14:useLocalDpi xmlns:a14="http://schemas.microsoft.com/office/drawing/2010/main" val="0"/>
                </a:ext>
              </a:extLst>
            </a:blip>
            <a:srcRect t="23666" b="24000"/>
            <a:stretch/>
          </xdr:blipFill>
          <xdr:spPr bwMode="auto">
            <a:xfrm>
              <a:off x="83820" y="97502662"/>
              <a:ext cx="6088380" cy="1046798"/>
            </a:xfrm>
            <a:prstGeom prst="rect">
              <a:avLst/>
            </a:prstGeom>
            <a:noFill/>
            <a:effectLst>
              <a:outerShdw blurRad="50800" dist="38100" dir="5400000" algn="t"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grpSp>
    </xdr:grpSp>
    <xdr:clientData/>
  </xdr:twoCellAnchor>
  <xdr:twoCellAnchor>
    <xdr:from>
      <xdr:col>1</xdr:col>
      <xdr:colOff>64293</xdr:colOff>
      <xdr:row>549</xdr:row>
      <xdr:rowOff>106680</xdr:rowOff>
    </xdr:from>
    <xdr:to>
      <xdr:col>3</xdr:col>
      <xdr:colOff>430053</xdr:colOff>
      <xdr:row>554</xdr:row>
      <xdr:rowOff>228600</xdr:rowOff>
    </xdr:to>
    <xdr:grpSp>
      <xdr:nvGrpSpPr>
        <xdr:cNvPr id="950" name="Group 949">
          <a:extLst>
            <a:ext uri="{FF2B5EF4-FFF2-40B4-BE49-F238E27FC236}">
              <a16:creationId xmlns:a16="http://schemas.microsoft.com/office/drawing/2014/main" id="{00000000-0008-0000-0100-0000B6030000}"/>
            </a:ext>
          </a:extLst>
        </xdr:cNvPr>
        <xdr:cNvGrpSpPr/>
      </xdr:nvGrpSpPr>
      <xdr:grpSpPr>
        <a:xfrm>
          <a:off x="178593" y="130515360"/>
          <a:ext cx="1371600" cy="1379220"/>
          <a:chOff x="16954500" y="214624920"/>
          <a:chExt cx="1371600" cy="1371600"/>
        </a:xfrm>
      </xdr:grpSpPr>
      <xdr:sp macro="" textlink="">
        <xdr:nvSpPr>
          <xdr:cNvPr id="956" name="Octagon 955">
            <a:extLst>
              <a:ext uri="{FF2B5EF4-FFF2-40B4-BE49-F238E27FC236}">
                <a16:creationId xmlns:a16="http://schemas.microsoft.com/office/drawing/2014/main" id="{00000000-0008-0000-0100-0000BC030000}"/>
              </a:ext>
            </a:extLst>
          </xdr:cNvPr>
          <xdr:cNvSpPr/>
        </xdr:nvSpPr>
        <xdr:spPr>
          <a:xfrm>
            <a:off x="16954500" y="214624920"/>
            <a:ext cx="1371600" cy="1371600"/>
          </a:xfrm>
          <a:prstGeom prst="octagon">
            <a:avLst>
              <a:gd name="adj" fmla="val 27774"/>
            </a:avLst>
          </a:prstGeom>
          <a:solidFill>
            <a:srgbClr val="FF5050"/>
          </a:solidFill>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painful emotion reports unresolved need</a:t>
            </a:r>
          </a:p>
        </xdr:txBody>
      </xdr:sp>
      <xdr:sp macro="" textlink="">
        <xdr:nvSpPr>
          <xdr:cNvPr id="957" name="Octagon 956">
            <a:extLst>
              <a:ext uri="{FF2B5EF4-FFF2-40B4-BE49-F238E27FC236}">
                <a16:creationId xmlns:a16="http://schemas.microsoft.com/office/drawing/2014/main" id="{00000000-0008-0000-0100-0000BD030000}"/>
              </a:ext>
            </a:extLst>
          </xdr:cNvPr>
          <xdr:cNvSpPr>
            <a:spLocks noChangeAspect="1"/>
          </xdr:cNvSpPr>
        </xdr:nvSpPr>
        <xdr:spPr>
          <a:xfrm>
            <a:off x="17045940" y="214716360"/>
            <a:ext cx="1188720" cy="1188720"/>
          </a:xfrm>
          <a:prstGeom prst="octagon">
            <a:avLst>
              <a:gd name="adj" fmla="val 27774"/>
            </a:avLst>
          </a:prstGeom>
          <a:noFill/>
          <a:ln w="28575">
            <a:solidFill>
              <a:srgbClr val="FFFF00"/>
            </a:solidFill>
          </a:ln>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endParaRPr lang="en-US" sz="12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49531</xdr:colOff>
      <xdr:row>549</xdr:row>
      <xdr:rowOff>38100</xdr:rowOff>
    </xdr:from>
    <xdr:to>
      <xdr:col>26</xdr:col>
      <xdr:colOff>461011</xdr:colOff>
      <xdr:row>553</xdr:row>
      <xdr:rowOff>53340</xdr:rowOff>
    </xdr:to>
    <xdr:sp macro="" textlink="">
      <xdr:nvSpPr>
        <xdr:cNvPr id="964" name="TextBox 963">
          <a:extLst>
            <a:ext uri="{FF2B5EF4-FFF2-40B4-BE49-F238E27FC236}">
              <a16:creationId xmlns:a16="http://schemas.microsoft.com/office/drawing/2014/main" id="{00000000-0008-0000-0100-0000C4030000}"/>
            </a:ext>
          </a:extLst>
        </xdr:cNvPr>
        <xdr:cNvSpPr txBox="1"/>
      </xdr:nvSpPr>
      <xdr:spPr>
        <a:xfrm>
          <a:off x="6427471" y="130058160"/>
          <a:ext cx="5943600" cy="102108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2. Divisive politics relies extensively on generalizing. Harmony Politics gets to specifics.</a:t>
          </a:r>
          <a:endParaRPr lang="en-US" sz="1100" b="1" baseline="0">
            <a:effectLst/>
            <a:latin typeface="Cambria" panose="02040503050406030204" pitchFamily="18" charset="0"/>
            <a:ea typeface="Cambria" panose="02040503050406030204" pitchFamily="18" charset="0"/>
          </a:endParaRPr>
        </a:p>
        <a:p>
          <a:pPr lvl="1"/>
          <a:r>
            <a:rPr lang="en-US" sz="1100" b="0" baseline="0">
              <a:solidFill>
                <a:schemeClr val="dk1"/>
              </a:solidFill>
              <a:effectLst/>
              <a:latin typeface="Cambria" panose="02040503050406030204" pitchFamily="18" charset="0"/>
              <a:ea typeface="Cambria" panose="02040503050406030204" pitchFamily="18" charset="0"/>
              <a:cs typeface="+mn-cs"/>
            </a:rPr>
            <a: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59328</xdr:colOff>
      <xdr:row>541</xdr:row>
      <xdr:rowOff>28303</xdr:rowOff>
    </xdr:from>
    <xdr:to>
      <xdr:col>26</xdr:col>
      <xdr:colOff>446859</xdr:colOff>
      <xdr:row>545</xdr:row>
      <xdr:rowOff>99060</xdr:rowOff>
    </xdr:to>
    <xdr:sp macro="" textlink="">
      <xdr:nvSpPr>
        <xdr:cNvPr id="1140" name="TextBox 1139">
          <a:extLst>
            <a:ext uri="{FF2B5EF4-FFF2-40B4-BE49-F238E27FC236}">
              <a16:creationId xmlns:a16="http://schemas.microsoft.com/office/drawing/2014/main" id="{00000000-0008-0000-0100-000074040000}"/>
            </a:ext>
          </a:extLst>
        </xdr:cNvPr>
        <xdr:cNvSpPr txBox="1"/>
      </xdr:nvSpPr>
      <xdr:spPr>
        <a:xfrm>
          <a:off x="6437268" y="128166223"/>
          <a:ext cx="5919651" cy="1076597"/>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1. Divisive politics misplaces the conflict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1" baseline="0">
              <a:solidFill>
                <a:schemeClr val="dk1"/>
              </a:solidFill>
              <a:effectLst/>
              <a:latin typeface="Cambria" panose="02040503050406030204" pitchFamily="18" charset="0"/>
              <a:ea typeface="Cambria" panose="02040503050406030204" pitchFamily="18" charset="0"/>
              <a:cs typeface="+mn-cs"/>
            </a:rPr>
            <a:t>Harmony Politics refocuses on affected needs.</a:t>
          </a:r>
          <a:endParaRPr lang="en-US" sz="1100" b="1" baseline="0">
            <a:effectLst/>
            <a:latin typeface="Cambria" panose="02040503050406030204" pitchFamily="18" charset="0"/>
            <a:ea typeface="Cambria" panose="02040503050406030204" pitchFamily="18" charset="0"/>
          </a:endParaRPr>
        </a:p>
        <a:p>
          <a:pPr lvl="1"/>
          <a:r>
            <a:rPr lang="en-US" sz="1100" b="0" baseline="0">
              <a:solidFill>
                <a:schemeClr val="dk1"/>
              </a:solidFill>
              <a:effectLst/>
              <a:latin typeface="Cambria" panose="02040503050406030204" pitchFamily="18" charset="0"/>
              <a:ea typeface="Cambria" panose="02040503050406030204" pitchFamily="18" charset="0"/>
              <a:cs typeface="+mn-cs"/>
            </a:rPr>
            <a: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a:t>
          </a: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14</xdr:col>
      <xdr:colOff>83277</xdr:colOff>
      <xdr:row>557</xdr:row>
      <xdr:rowOff>22859</xdr:rowOff>
    </xdr:from>
    <xdr:to>
      <xdr:col>26</xdr:col>
      <xdr:colOff>358685</xdr:colOff>
      <xdr:row>562</xdr:row>
      <xdr:rowOff>38100</xdr:rowOff>
    </xdr:to>
    <xdr:sp macro="" textlink="">
      <xdr:nvSpPr>
        <xdr:cNvPr id="1142" name="TextBox 1141">
          <a:extLst>
            <a:ext uri="{FF2B5EF4-FFF2-40B4-BE49-F238E27FC236}">
              <a16:creationId xmlns:a16="http://schemas.microsoft.com/office/drawing/2014/main" id="{00000000-0008-0000-0100-000076040000}"/>
            </a:ext>
          </a:extLst>
        </xdr:cNvPr>
        <xdr:cNvSpPr txBox="1"/>
      </xdr:nvSpPr>
      <xdr:spPr>
        <a:xfrm>
          <a:off x="6346917" y="131925059"/>
          <a:ext cx="5921828" cy="127254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3. Divisive politics assumes choices no one has. Harmony Politics links you to your needs.</a:t>
          </a:r>
        </a:p>
        <a:p>
          <a:pPr marL="457200" marR="0" lvl="1"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8</xdr:col>
      <xdr:colOff>487642</xdr:colOff>
      <xdr:row>557</xdr:row>
      <xdr:rowOff>53341</xdr:rowOff>
    </xdr:from>
    <xdr:to>
      <xdr:col>12</xdr:col>
      <xdr:colOff>480058</xdr:colOff>
      <xdr:row>562</xdr:row>
      <xdr:rowOff>243840</xdr:rowOff>
    </xdr:to>
    <xdr:pic>
      <xdr:nvPicPr>
        <xdr:cNvPr id="1147" name="Picture 1146">
          <a:extLst>
            <a:ext uri="{FF2B5EF4-FFF2-40B4-BE49-F238E27FC236}">
              <a16:creationId xmlns:a16="http://schemas.microsoft.com/office/drawing/2014/main" id="{00000000-0008-0000-0100-00007B04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122382" y="131955541"/>
          <a:ext cx="2004096" cy="1447799"/>
        </a:xfrm>
        <a:prstGeom prst="rect">
          <a:avLst/>
        </a:prstGeom>
      </xdr:spPr>
    </xdr:pic>
    <xdr:clientData/>
  </xdr:twoCellAnchor>
  <xdr:twoCellAnchor>
    <xdr:from>
      <xdr:col>14</xdr:col>
      <xdr:colOff>113756</xdr:colOff>
      <xdr:row>557</xdr:row>
      <xdr:rowOff>60959</xdr:rowOff>
    </xdr:from>
    <xdr:to>
      <xdr:col>21</xdr:col>
      <xdr:colOff>410936</xdr:colOff>
      <xdr:row>564</xdr:row>
      <xdr:rowOff>83820</xdr:rowOff>
    </xdr:to>
    <xdr:sp macro="" textlink="">
      <xdr:nvSpPr>
        <xdr:cNvPr id="1148" name="TextBox 1147">
          <a:extLst>
            <a:ext uri="{FF2B5EF4-FFF2-40B4-BE49-F238E27FC236}">
              <a16:creationId xmlns:a16="http://schemas.microsoft.com/office/drawing/2014/main" id="{00000000-0008-0000-0100-00007C040000}"/>
            </a:ext>
          </a:extLst>
        </xdr:cNvPr>
        <xdr:cNvSpPr txBox="1"/>
      </xdr:nvSpPr>
      <xdr:spPr>
        <a:xfrm>
          <a:off x="6377396" y="131963159"/>
          <a:ext cx="3429000" cy="178308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3. Divisive politics assumes too much choice. Harmony Politics points to unchosen needs.</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19</xdr:col>
      <xdr:colOff>259080</xdr:colOff>
      <xdr:row>549</xdr:row>
      <xdr:rowOff>38100</xdr:rowOff>
    </xdr:from>
    <xdr:to>
      <xdr:col>26</xdr:col>
      <xdr:colOff>423672</xdr:colOff>
      <xdr:row>555</xdr:row>
      <xdr:rowOff>76200</xdr:rowOff>
    </xdr:to>
    <xdr:sp macro="" textlink="">
      <xdr:nvSpPr>
        <xdr:cNvPr id="1149" name="TextBox 1148">
          <a:extLst>
            <a:ext uri="{FF2B5EF4-FFF2-40B4-BE49-F238E27FC236}">
              <a16:creationId xmlns:a16="http://schemas.microsoft.com/office/drawing/2014/main" id="{00000000-0008-0000-0100-00007D040000}"/>
            </a:ext>
          </a:extLst>
        </xdr:cNvPr>
        <xdr:cNvSpPr txBox="1"/>
      </xdr:nvSpPr>
      <xdr:spPr>
        <a:xfrm>
          <a:off x="8648700" y="130058160"/>
          <a:ext cx="3685032" cy="154686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2. Divisive politics relies extensively on generalizing. Harmony Politics gets to specifics.</a:t>
          </a:r>
          <a:endParaRPr lang="en-US" sz="1100" b="1" baseline="0">
            <a:effectLst/>
            <a:latin typeface="Cambria" panose="02040503050406030204" pitchFamily="18" charset="0"/>
            <a:ea typeface="Cambria" panose="02040503050406030204" pitchFamily="18" charset="0"/>
          </a:endParaRPr>
        </a:p>
        <a:p>
          <a:pPr lvl="0"/>
          <a:r>
            <a:rPr lang="en-US" sz="1100" b="0" baseline="0">
              <a:solidFill>
                <a:schemeClr val="dk1"/>
              </a:solidFill>
              <a:effectLst/>
              <a:latin typeface="Cambria" panose="02040503050406030204" pitchFamily="18" charset="0"/>
              <a:ea typeface="Cambria" panose="02040503050406030204" pitchFamily="18" charset="0"/>
              <a:cs typeface="+mn-cs"/>
            </a:rPr>
            <a: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13608</xdr:colOff>
      <xdr:row>540</xdr:row>
      <xdr:rowOff>89262</xdr:rowOff>
    </xdr:from>
    <xdr:to>
      <xdr:col>21</xdr:col>
      <xdr:colOff>425088</xdr:colOff>
      <xdr:row>547</xdr:row>
      <xdr:rowOff>137160</xdr:rowOff>
    </xdr:to>
    <xdr:sp macro="" textlink="">
      <xdr:nvSpPr>
        <xdr:cNvPr id="1150" name="TextBox 1149">
          <a:extLst>
            <a:ext uri="{FF2B5EF4-FFF2-40B4-BE49-F238E27FC236}">
              <a16:creationId xmlns:a16="http://schemas.microsoft.com/office/drawing/2014/main" id="{00000000-0008-0000-0100-00007E040000}"/>
            </a:ext>
          </a:extLst>
        </xdr:cNvPr>
        <xdr:cNvSpPr txBox="1"/>
      </xdr:nvSpPr>
      <xdr:spPr>
        <a:xfrm>
          <a:off x="6391548" y="128105262"/>
          <a:ext cx="3429000" cy="167857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1. Divisive politics misplaces the conflict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1" baseline="0">
              <a:solidFill>
                <a:schemeClr val="dk1"/>
              </a:solidFill>
              <a:effectLst/>
              <a:latin typeface="Cambria" panose="02040503050406030204" pitchFamily="18" charset="0"/>
              <a:ea typeface="Cambria" panose="02040503050406030204" pitchFamily="18" charset="0"/>
              <a:cs typeface="+mn-cs"/>
            </a:rPr>
            <a:t>Harmony Politics refocuses on affected needs.</a:t>
          </a:r>
          <a:endParaRPr lang="en-US" sz="1100" b="1" baseline="0">
            <a:effectLst/>
            <a:latin typeface="Cambria" panose="02040503050406030204" pitchFamily="18" charset="0"/>
            <a:ea typeface="Cambria" panose="02040503050406030204" pitchFamily="18" charset="0"/>
          </a:endParaRPr>
        </a:p>
        <a:p>
          <a:pPr lvl="0"/>
          <a:r>
            <a:rPr lang="en-US" sz="1100" b="0" baseline="0">
              <a:solidFill>
                <a:schemeClr val="dk1"/>
              </a:solidFill>
              <a:effectLst/>
              <a:latin typeface="Cambria" panose="02040503050406030204" pitchFamily="18" charset="0"/>
              <a:ea typeface="Cambria" panose="02040503050406030204" pitchFamily="18" charset="0"/>
              <a:cs typeface="+mn-cs"/>
            </a:rPr>
            <a: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a:t>
          </a: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29936</xdr:colOff>
      <xdr:row>565</xdr:row>
      <xdr:rowOff>99059</xdr:rowOff>
    </xdr:from>
    <xdr:to>
      <xdr:col>26</xdr:col>
      <xdr:colOff>441416</xdr:colOff>
      <xdr:row>568</xdr:row>
      <xdr:rowOff>160020</xdr:rowOff>
    </xdr:to>
    <xdr:sp macro="" textlink="">
      <xdr:nvSpPr>
        <xdr:cNvPr id="1151" name="TextBox 1150">
          <a:extLst>
            <a:ext uri="{FF2B5EF4-FFF2-40B4-BE49-F238E27FC236}">
              <a16:creationId xmlns:a16="http://schemas.microsoft.com/office/drawing/2014/main" id="{00000000-0008-0000-0100-00007F040000}"/>
            </a:ext>
          </a:extLst>
        </xdr:cNvPr>
        <xdr:cNvSpPr txBox="1"/>
      </xdr:nvSpPr>
      <xdr:spPr>
        <a:xfrm>
          <a:off x="6407876" y="133951979"/>
          <a:ext cx="5943600" cy="81534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Ready to go beyond conventional counseling?</a:t>
          </a:r>
          <a:r>
            <a:rPr lang="en-US" sz="1100" b="0" baseline="0">
              <a:solidFill>
                <a:schemeClr val="dk1"/>
              </a:solidFill>
              <a:effectLst/>
              <a:latin typeface="Cambria" panose="02040503050406030204" pitchFamily="18" charset="0"/>
              <a:ea typeface="Cambria" panose="02040503050406030204" pitchFamily="18" charset="0"/>
              <a:cs typeface="+mn-cs"/>
            </a:rPr>
            <a:t> Use this tool to recover any lost rapport with your client due to political differences. Contact me at </a:t>
          </a:r>
          <a:r>
            <a:rPr lang="en-US" sz="1000" b="0" baseline="0">
              <a:solidFill>
                <a:srgbClr val="009646"/>
              </a:solidFill>
              <a:effectLst>
                <a:innerShdw blurRad="114300">
                  <a:prstClr val="black"/>
                </a:innerShdw>
              </a:effectLst>
              <a:latin typeface="Arial Black" panose="020B0A04020102020204" pitchFamily="34" charset="0"/>
              <a:ea typeface="Cambria" panose="02040503050406030204" pitchFamily="18" charset="0"/>
              <a:cs typeface="+mn-cs"/>
            </a:rPr>
            <a:t>Value</a:t>
          </a:r>
          <a:r>
            <a:rPr lang="en-US" sz="1000" b="0" baseline="0">
              <a:solidFill>
                <a:schemeClr val="dk1"/>
              </a:solidFill>
              <a:effectLst>
                <a:innerShdw blurRad="114300">
                  <a:prstClr val="black"/>
                </a:innerShdw>
              </a:effectLst>
              <a:latin typeface="Arial Black" panose="020B0A04020102020204" pitchFamily="34" charset="0"/>
              <a:ea typeface="Cambria" panose="02040503050406030204" pitchFamily="18" charset="0"/>
              <a:cs typeface="+mn-cs"/>
            </a:rPr>
            <a:t> </a:t>
          </a:r>
          <a:r>
            <a:rPr lang="en-US" sz="1000" b="0" baseline="0">
              <a:solidFill>
                <a:srgbClr val="7030A0"/>
              </a:solidFill>
              <a:effectLst>
                <a:innerShdw blurRad="114300">
                  <a:prstClr val="black"/>
                </a:innerShdw>
              </a:effectLst>
              <a:latin typeface="Arial Black" panose="020B0A04020102020204" pitchFamily="34" charset="0"/>
              <a:ea typeface="Cambria" panose="02040503050406030204" pitchFamily="18" charset="0"/>
              <a:cs typeface="+mn-cs"/>
            </a:rPr>
            <a:t>Relating</a:t>
          </a:r>
          <a:r>
            <a:rPr lang="en-US" sz="1100" b="0" baseline="0">
              <a:solidFill>
                <a:schemeClr val="dk1"/>
              </a:solidFill>
              <a:effectLst/>
              <a:latin typeface="Cambria" panose="02040503050406030204" pitchFamily="18" charset="0"/>
              <a:ea typeface="Cambria" panose="02040503050406030204" pitchFamily="18" charset="0"/>
              <a:cs typeface="+mn-cs"/>
            </a:rPr>
            <a:t> to fit this tool to your particular counseling situation. I look forward to introducing you to </a:t>
          </a:r>
          <a:r>
            <a:rPr lang="en-US" sz="1100" b="1" baseline="0">
              <a:solidFill>
                <a:srgbClr val="0070C0"/>
              </a:solidFill>
              <a:effectLst/>
              <a:latin typeface="Cambria" panose="02040503050406030204" pitchFamily="18" charset="0"/>
              <a:ea typeface="Cambria" panose="02040503050406030204" pitchFamily="18" charset="0"/>
              <a:cs typeface="+mn-cs"/>
            </a:rPr>
            <a:t>psychosociotherapy</a:t>
          </a:r>
          <a:r>
            <a:rPr lang="en-US" sz="1100" b="0" baseline="0">
              <a:solidFill>
                <a:schemeClr val="dk1"/>
              </a:solidFill>
              <a:effectLst/>
              <a:latin typeface="Cambria" panose="02040503050406030204" pitchFamily="18" charset="0"/>
              <a:ea typeface="Cambria" panose="02040503050406030204" pitchFamily="18" charset="0"/>
              <a:cs typeface="+mn-cs"/>
            </a:rPr>
            <a:t>, to empower your client to </a:t>
          </a:r>
          <a:r>
            <a:rPr lang="en-US" sz="1100" b="0" i="1" baseline="0">
              <a:solidFill>
                <a:schemeClr val="dk1"/>
              </a:solidFill>
              <a:effectLst/>
              <a:latin typeface="Cambria" panose="02040503050406030204" pitchFamily="18" charset="0"/>
              <a:ea typeface="Cambria" panose="02040503050406030204" pitchFamily="18" charset="0"/>
              <a:cs typeface="+mn-cs"/>
            </a:rPr>
            <a:t>speak truth to political power</a:t>
          </a:r>
          <a:r>
            <a:rPr lang="en-US" sz="1100" b="0" baseline="0">
              <a:solidFill>
                <a:schemeClr val="dk1"/>
              </a:solidFill>
              <a:effectLst/>
              <a:latin typeface="Cambria" panose="02040503050406030204" pitchFamily="18" charset="0"/>
              <a:ea typeface="Cambria" panose="02040503050406030204" pitchFamily="18" charset="0"/>
              <a:cs typeface="+mn-cs"/>
            </a:rPr>
            <a:t>, wherever they must confront it.</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173077</xdr:colOff>
      <xdr:row>625</xdr:row>
      <xdr:rowOff>58854</xdr:rowOff>
    </xdr:from>
    <xdr:to>
      <xdr:col>22</xdr:col>
      <xdr:colOff>54091</xdr:colOff>
      <xdr:row>632</xdr:row>
      <xdr:rowOff>89646</xdr:rowOff>
    </xdr:to>
    <xdr:sp macro="" textlink="">
      <xdr:nvSpPr>
        <xdr:cNvPr id="1217" name="TextBox 1216">
          <a:extLst>
            <a:ext uri="{FF2B5EF4-FFF2-40B4-BE49-F238E27FC236}">
              <a16:creationId xmlns:a16="http://schemas.microsoft.com/office/drawing/2014/main" id="{00000000-0008-0000-0100-0000C1040000}"/>
            </a:ext>
          </a:extLst>
        </xdr:cNvPr>
        <xdr:cNvSpPr txBox="1"/>
      </xdr:nvSpPr>
      <xdr:spPr>
        <a:xfrm>
          <a:off x="6515606" y="149709678"/>
          <a:ext cx="3384720" cy="180879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a:t>
          </a:r>
          <a:r>
            <a:rPr lang="en-US" sz="1100" b="1" baseline="0">
              <a:solidFill>
                <a:schemeClr val="dk1"/>
              </a:solidFill>
              <a:effectLst/>
              <a:latin typeface="Cambria" panose="02040503050406030204" pitchFamily="18" charset="0"/>
              <a:ea typeface="Cambria" panose="02040503050406030204" pitchFamily="18" charset="0"/>
              <a:cs typeface="+mn-cs"/>
            </a:rPr>
            <a:t>impact parity model</a:t>
          </a:r>
          <a:r>
            <a:rPr lang="en-US" sz="1100" b="0" baseline="0">
              <a:solidFill>
                <a:schemeClr val="dk1"/>
              </a:solidFill>
              <a:effectLst/>
              <a:latin typeface="Cambria" panose="02040503050406030204" pitchFamily="18" charset="0"/>
              <a:ea typeface="Cambria" panose="02040503050406030204" pitchFamily="18" charset="0"/>
              <a:cs typeface="+mn-cs"/>
            </a:rPr>
            <a:t>, or IPM, empowers your client to address power relations. The IPM identifies the powerholder in that relation as the </a:t>
          </a:r>
          <a:r>
            <a:rPr lang="en-US" sz="1100" b="1" i="1" baseline="0">
              <a:solidFill>
                <a:schemeClr val="dk1"/>
              </a:solidFill>
              <a:effectLst/>
              <a:latin typeface="Cambria" panose="02040503050406030204" pitchFamily="18" charset="0"/>
              <a:ea typeface="Cambria" panose="02040503050406030204" pitchFamily="18" charset="0"/>
              <a:cs typeface="+mn-cs"/>
            </a:rPr>
            <a:t>ascribed impactor</a:t>
          </a:r>
          <a:r>
            <a:rPr lang="en-US" sz="1100" b="0" baseline="0">
              <a:solidFill>
                <a:schemeClr val="dk1"/>
              </a:solidFill>
              <a:effectLst/>
              <a:latin typeface="Cambria" panose="02040503050406030204" pitchFamily="18" charset="0"/>
              <a:ea typeface="Cambria" panose="02040503050406030204" pitchFamily="18" charset="0"/>
              <a:cs typeface="+mn-cs"/>
            </a:rPr>
            <a:t>, or AI. It identifies your relateively less powerful client as the </a:t>
          </a:r>
          <a:r>
            <a:rPr lang="en-US" sz="1100" b="1" i="1" baseline="0">
              <a:solidFill>
                <a:schemeClr val="dk1"/>
              </a:solidFill>
              <a:effectLst/>
              <a:latin typeface="Cambria" panose="02040503050406030204" pitchFamily="18" charset="0"/>
              <a:ea typeface="Cambria" panose="02040503050406030204" pitchFamily="18" charset="0"/>
              <a:cs typeface="+mn-cs"/>
            </a:rPr>
            <a:t>reporting impactee</a:t>
          </a:r>
          <a:r>
            <a:rPr lang="en-US" sz="1100" b="0" baseline="0">
              <a:solidFill>
                <a:schemeClr val="dk1"/>
              </a:solidFill>
              <a:effectLst/>
              <a:latin typeface="Cambria" panose="02040503050406030204" pitchFamily="18" charset="0"/>
              <a:ea typeface="Cambria" panose="02040503050406030204" pitchFamily="18" charset="0"/>
              <a:cs typeface="+mn-cs"/>
            </a:rPr>
            <a:t>, or RI. </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i="0" baseline="0">
            <a:solidFill>
              <a:schemeClr val="dk1"/>
            </a:solidFill>
            <a:effectLst/>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 receives support to </a:t>
          </a:r>
          <a:r>
            <a:rPr lang="en-US" sz="1100" b="1" i="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i="0" baseline="0">
              <a:solidFill>
                <a:schemeClr val="dk1"/>
              </a:solidFill>
              <a:effectLst/>
              <a:latin typeface="Cambria" panose="02040503050406030204" pitchFamily="18" charset="0"/>
              <a:ea typeface="Cambria" panose="02040503050406030204" pitchFamily="18" charset="0"/>
              <a:cs typeface="+mn-cs"/>
            </a:rPr>
            <a:t>. The IPM incentives the AI to </a:t>
          </a:r>
          <a:r>
            <a:rPr lang="en-US" sz="1100" b="1" i="1" baseline="0">
              <a:solidFill>
                <a:schemeClr val="dk1"/>
              </a:solidFill>
              <a:effectLst/>
              <a:latin typeface="Cambria" panose="02040503050406030204" pitchFamily="18" charset="0"/>
              <a:ea typeface="Cambria" panose="02040503050406030204" pitchFamily="18" charset="0"/>
              <a:cs typeface="+mn-cs"/>
            </a:rPr>
            <a:t>listen to those impacted</a:t>
          </a:r>
          <a:r>
            <a:rPr lang="en-US" sz="1100" b="0" i="0" baseline="0">
              <a:solidFill>
                <a:schemeClr val="dk1"/>
              </a:solidFill>
              <a:effectLst/>
              <a:latin typeface="Cambria" panose="02040503050406030204" pitchFamily="18" charset="0"/>
              <a:ea typeface="Cambria" panose="02040503050406030204" pitchFamily="18" charset="0"/>
              <a:cs typeface="+mn-cs"/>
            </a:rPr>
            <a:t>. </a:t>
          </a:r>
          <a:endParaRPr lang="en-US" sz="1100" b="0" baseline="0">
            <a:solidFill>
              <a:schemeClr val="dk1"/>
            </a:solidFill>
            <a:effectLst/>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IPM incentivizes those in power to invest in those they impact with their power. </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editAs="oneCell">
    <xdr:from>
      <xdr:col>8</xdr:col>
      <xdr:colOff>127763</xdr:colOff>
      <xdr:row>611</xdr:row>
      <xdr:rowOff>308443</xdr:rowOff>
    </xdr:from>
    <xdr:to>
      <xdr:col>12</xdr:col>
      <xdr:colOff>388625</xdr:colOff>
      <xdr:row>616</xdr:row>
      <xdr:rowOff>227093</xdr:rowOff>
    </xdr:to>
    <xdr:pic>
      <xdr:nvPicPr>
        <xdr:cNvPr id="1219" name="Picture 1218">
          <a:extLst>
            <a:ext uri="{FF2B5EF4-FFF2-40B4-BE49-F238E27FC236}">
              <a16:creationId xmlns:a16="http://schemas.microsoft.com/office/drawing/2014/main" id="{00000000-0008-0000-0100-0000C3040000}"/>
            </a:ext>
          </a:extLst>
        </xdr:cNvPr>
        <xdr:cNvPicPr>
          <a:picLocks noChangeAspect="1"/>
        </xdr:cNvPicPr>
      </xdr:nvPicPr>
      <xdr:blipFill>
        <a:blip xmlns:r="http://schemas.openxmlformats.org/officeDocument/2006/relationships" r:embed="rId24" cstate="print">
          <a:extLst>
            <a:ext uri="{BEBA8EAE-BF5A-486C-A8C5-ECC9F3942E4B}">
              <a14:imgProps xmlns:a14="http://schemas.microsoft.com/office/drawing/2010/main">
                <a14:imgLayer r:embed="rId25">
                  <a14:imgEffect>
                    <a14:brightnessContrast contrast="-20000"/>
                  </a14:imgEffect>
                </a14:imgLayer>
              </a14:imgProps>
            </a:ext>
            <a:ext uri="{28A0092B-C50C-407E-A947-70E740481C1C}">
              <a14:useLocalDpi xmlns:a14="http://schemas.microsoft.com/office/drawing/2010/main" val="0"/>
            </a:ext>
          </a:extLst>
        </a:blip>
        <a:stretch>
          <a:fillRect/>
        </a:stretch>
      </xdr:blipFill>
      <xdr:spPr>
        <a:xfrm>
          <a:off x="3743528" y="146642325"/>
          <a:ext cx="2262979" cy="1292790"/>
        </a:xfrm>
        <a:prstGeom prst="rect">
          <a:avLst/>
        </a:prstGeom>
        <a:effectLst>
          <a:glow rad="63500">
            <a:srgbClr val="A5FFC8">
              <a:alpha val="25000"/>
            </a:srgbClr>
          </a:glow>
          <a:softEdge rad="88900"/>
        </a:effectLst>
      </xdr:spPr>
    </xdr:pic>
    <xdr:clientData/>
  </xdr:twoCellAnchor>
  <xdr:twoCellAnchor>
    <xdr:from>
      <xdr:col>15</xdr:col>
      <xdr:colOff>38100</xdr:colOff>
      <xdr:row>580</xdr:row>
      <xdr:rowOff>76498</xdr:rowOff>
    </xdr:from>
    <xdr:to>
      <xdr:col>26</xdr:col>
      <xdr:colOff>449580</xdr:colOff>
      <xdr:row>588</xdr:row>
      <xdr:rowOff>149412</xdr:rowOff>
    </xdr:to>
    <xdr:sp macro="" textlink="">
      <xdr:nvSpPr>
        <xdr:cNvPr id="1224" name="TextBox 1223">
          <a:extLst>
            <a:ext uri="{FF2B5EF4-FFF2-40B4-BE49-F238E27FC236}">
              <a16:creationId xmlns:a16="http://schemas.microsoft.com/office/drawing/2014/main" id="{00000000-0008-0000-0100-0000C8040000}"/>
            </a:ext>
          </a:extLst>
        </xdr:cNvPr>
        <xdr:cNvSpPr txBox="1"/>
      </xdr:nvSpPr>
      <xdr:spPr>
        <a:xfrm>
          <a:off x="6380629" y="139007027"/>
          <a:ext cx="5917304" cy="2358914"/>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Recover rapport</a:t>
          </a:r>
        </a:p>
        <a:p>
          <a:r>
            <a:rPr lang="en-US" sz="1050" b="1" baseline="0">
              <a:solidFill>
                <a:schemeClr val="dk1"/>
              </a:solidFill>
              <a:latin typeface="Arial Narrow" panose="020B0606020202030204" pitchFamily="34" charset="0"/>
              <a:ea typeface="+mn-ea"/>
              <a:cs typeface="+mn-cs"/>
            </a:rPr>
            <a:t>First, Harmony Politics stops you from losing clients over political differences</a:t>
          </a:r>
          <a:r>
            <a:rPr lang="en-US" sz="1050" baseline="0">
              <a:solidFill>
                <a:schemeClr val="dk1"/>
              </a:solidFill>
              <a:latin typeface="Arial Narrow" panose="020B0606020202030204" pitchFamily="34" charset="0"/>
              <a:ea typeface="+mn-ea"/>
              <a:cs typeface="+mn-cs"/>
            </a:rPr>
            <a:t>. You set yourself apart from less inclined counselors when demonstrating you can connect more deeply with your client over divisive issue. Because you go deeper to the underlying needs.</a:t>
          </a:r>
        </a:p>
        <a:p>
          <a:endParaRPr lang="en-US" sz="1050" baseline="0">
            <a:solidFill>
              <a:schemeClr val="dk1"/>
            </a:solidFill>
            <a:latin typeface="Arial Narrow" panose="020B0606020202030204" pitchFamily="34" charset="0"/>
            <a:ea typeface="+mn-ea"/>
            <a:cs typeface="+mn-cs"/>
          </a:endParaRPr>
        </a:p>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Sustain development</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Second, Harmony Politics slows damage to your client's development</a:t>
          </a:r>
          <a:r>
            <a:rPr lang="en-US" sz="1050" baseline="0">
              <a:solidFill>
                <a:schemeClr val="dk1"/>
              </a:solidFill>
              <a:latin typeface="Arial Narrow" panose="020B0606020202030204" pitchFamily="34" charset="0"/>
              <a:ea typeface="+mn-ea"/>
              <a:cs typeface="+mn-cs"/>
            </a:rPr>
            <a:t>. You help your client appreciate politics as a way to express those needs whose resolution, in part, remains beyond their personal control. You spur your client to resolve these needs with others.</a:t>
          </a:r>
        </a:p>
        <a:p>
          <a:pPr marL="0" indent="0"/>
          <a:endParaRPr lang="en-US" sz="1050" baseline="0">
            <a:solidFill>
              <a:schemeClr val="dk1"/>
            </a:solidFill>
            <a:latin typeface="Arial Narrow" panose="020B0606020202030204" pitchFamily="34" charset="0"/>
            <a:ea typeface="+mn-ea"/>
            <a:cs typeface="+mn-cs"/>
          </a:endParaRPr>
        </a:p>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Thrive with psychosocial flow</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Lastly, Harmony Politics can speed up your client's full life potential</a:t>
          </a:r>
          <a:r>
            <a:rPr lang="en-US" sz="1050" baseline="0">
              <a:solidFill>
                <a:schemeClr val="dk1"/>
              </a:solidFill>
              <a:latin typeface="Arial Narrow" panose="020B0606020202030204" pitchFamily="34" charset="0"/>
              <a:ea typeface="+mn-ea"/>
              <a:cs typeface="+mn-cs"/>
            </a:rPr>
            <a:t>. You can learn to use psychosociotherapy to empower your client to speak their truth to power. You advocate the resolution of their affected needs in accord with others resolving their needs.</a:t>
          </a:r>
        </a:p>
        <a:p>
          <a:pPr marL="0" indent="0"/>
          <a:endParaRPr lang="en-US" sz="1050" baseline="0">
            <a:solidFill>
              <a:schemeClr val="dk1"/>
            </a:solidFill>
            <a:latin typeface="Arial Narrow" panose="020B0606020202030204" pitchFamily="34" charset="0"/>
            <a:ea typeface="+mn-ea"/>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60867</xdr:colOff>
      <xdr:row>633</xdr:row>
      <xdr:rowOff>127748</xdr:rowOff>
    </xdr:from>
    <xdr:to>
      <xdr:col>26</xdr:col>
      <xdr:colOff>472346</xdr:colOff>
      <xdr:row>639</xdr:row>
      <xdr:rowOff>59765</xdr:rowOff>
    </xdr:to>
    <xdr:sp macro="" textlink="">
      <xdr:nvSpPr>
        <xdr:cNvPr id="1226" name="TextBox 1225">
          <a:extLst>
            <a:ext uri="{FF2B5EF4-FFF2-40B4-BE49-F238E27FC236}">
              <a16:creationId xmlns:a16="http://schemas.microsoft.com/office/drawing/2014/main" id="{00000000-0008-0000-0100-0000CA040000}"/>
            </a:ext>
          </a:extLst>
        </xdr:cNvPr>
        <xdr:cNvSpPr txBox="1"/>
      </xdr:nvSpPr>
      <xdr:spPr>
        <a:xfrm>
          <a:off x="6403396" y="151810572"/>
          <a:ext cx="5917303" cy="126178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Revolutionary revenue model</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Psychosociotherapy does not rely on insurance. Nor is it an out of pocket personal health expense. It creates value for both sides in this power relation. The AI, who typically has greater resources and the most to gain from this model, is incentivized to invest in your RI client. They receive valuable data for better serving others like the RI. Just as you are learning to attract and sustain RI clients. AI's must compete with each other to be most responsive to clients' underserved needs. </a:t>
          </a:r>
          <a:endParaRPr lang="en-US" sz="1050">
            <a:latin typeface="Arial Narrow" panose="020B0606020202030204" pitchFamily="34" charset="0"/>
          </a:endParaRPr>
        </a:p>
      </xdr:txBody>
    </xdr:sp>
    <xdr:clientData/>
  </xdr:twoCellAnchor>
  <xdr:twoCellAnchor>
    <xdr:from>
      <xdr:col>15</xdr:col>
      <xdr:colOff>91199</xdr:colOff>
      <xdr:row>612</xdr:row>
      <xdr:rowOff>2690</xdr:rowOff>
    </xdr:from>
    <xdr:to>
      <xdr:col>22</xdr:col>
      <xdr:colOff>89646</xdr:colOff>
      <xdr:row>617</xdr:row>
      <xdr:rowOff>134471</xdr:rowOff>
    </xdr:to>
    <xdr:sp macro="" textlink="">
      <xdr:nvSpPr>
        <xdr:cNvPr id="1227" name="TextBox 1226">
          <a:extLst>
            <a:ext uri="{FF2B5EF4-FFF2-40B4-BE49-F238E27FC236}">
              <a16:creationId xmlns:a16="http://schemas.microsoft.com/office/drawing/2014/main" id="{00000000-0008-0000-0100-0000CB040000}"/>
            </a:ext>
          </a:extLst>
        </xdr:cNvPr>
        <xdr:cNvSpPr txBox="1"/>
      </xdr:nvSpPr>
      <xdr:spPr>
        <a:xfrm>
          <a:off x="6433728" y="146792278"/>
          <a:ext cx="3502153" cy="132707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Power relations </a:t>
          </a:r>
          <a:r>
            <a:rPr lang="en-US" sz="1100" b="0" baseline="0">
              <a:solidFill>
                <a:schemeClr val="dk1"/>
              </a:solidFill>
              <a:effectLst/>
              <a:latin typeface="Cambria" panose="02040503050406030204" pitchFamily="18" charset="0"/>
              <a:ea typeface="Cambria" panose="02040503050406030204" pitchFamily="18" charset="0"/>
              <a:cs typeface="+mn-cs"/>
            </a:rPr>
            <a:t>easily</a:t>
          </a:r>
          <a:r>
            <a:rPr lang="en-US" sz="1100" b="1" baseline="0">
              <a:solidFill>
                <a:schemeClr val="dk1"/>
              </a:solidFill>
              <a:effectLst/>
              <a:latin typeface="Cambria" panose="02040503050406030204" pitchFamily="18" charset="0"/>
              <a:ea typeface="Cambria" panose="02040503050406030204" pitchFamily="18" charset="0"/>
              <a:cs typeface="+mn-cs"/>
            </a:rPr>
            <a:t> </a:t>
          </a:r>
          <a:r>
            <a:rPr lang="en-US" sz="1100" b="0" baseline="0">
              <a:solidFill>
                <a:schemeClr val="dk1"/>
              </a:solidFill>
              <a:effectLst/>
              <a:latin typeface="Cambria" panose="02040503050406030204" pitchFamily="18" charset="0"/>
              <a:ea typeface="Cambria" panose="02040503050406030204" pitchFamily="18" charset="0"/>
              <a:cs typeface="+mn-cs"/>
            </a:rPr>
            <a:t>distort how well each side can resolve their needs. Your client hits a wall when doing all they can to change themselves to fit into a problematic environment. Now you can inspire them to shift focus from adjusting themselves to fit powerful others to incentivizing powerful others to fit the needs of your distressed client.</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23</xdr:col>
      <xdr:colOff>303810</xdr:colOff>
      <xdr:row>53</xdr:row>
      <xdr:rowOff>229558</xdr:rowOff>
    </xdr:from>
    <xdr:to>
      <xdr:col>26</xdr:col>
      <xdr:colOff>323862</xdr:colOff>
      <xdr:row>53</xdr:row>
      <xdr:rowOff>534145</xdr:rowOff>
    </xdr:to>
    <xdr:sp macro="" textlink="">
      <xdr:nvSpPr>
        <xdr:cNvPr id="1234" name="Arrow: Left 1233">
          <a:hlinkClick xmlns:r="http://schemas.openxmlformats.org/officeDocument/2006/relationships" r:id="rId2" tooltip="back to Harmony Politics tab"/>
          <a:extLst>
            <a:ext uri="{FF2B5EF4-FFF2-40B4-BE49-F238E27FC236}">
              <a16:creationId xmlns:a16="http://schemas.microsoft.com/office/drawing/2014/main" id="{00000000-0008-0000-0100-0000D2040000}"/>
            </a:ext>
          </a:extLst>
        </xdr:cNvPr>
        <xdr:cNvSpPr/>
      </xdr:nvSpPr>
      <xdr:spPr>
        <a:xfrm>
          <a:off x="10806710" y="17120558"/>
          <a:ext cx="1544052" cy="30458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125</xdr:row>
      <xdr:rowOff>62369</xdr:rowOff>
    </xdr:from>
    <xdr:to>
      <xdr:col>26</xdr:col>
      <xdr:colOff>488215</xdr:colOff>
      <xdr:row>125</xdr:row>
      <xdr:rowOff>302426</xdr:rowOff>
    </xdr:to>
    <xdr:sp macro="" textlink="">
      <xdr:nvSpPr>
        <xdr:cNvPr id="1235" name="Arrow: Left 1234">
          <a:hlinkClick xmlns:r="http://schemas.openxmlformats.org/officeDocument/2006/relationships" r:id="rId2" tooltip="back to Harmony Politics tab"/>
          <a:extLst>
            <a:ext uri="{FF2B5EF4-FFF2-40B4-BE49-F238E27FC236}">
              <a16:creationId xmlns:a16="http://schemas.microsoft.com/office/drawing/2014/main" id="{00000000-0008-0000-0100-0000D3040000}"/>
            </a:ext>
          </a:extLst>
        </xdr:cNvPr>
        <xdr:cNvSpPr/>
      </xdr:nvSpPr>
      <xdr:spPr>
        <a:xfrm>
          <a:off x="10971063" y="34060269"/>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455463</xdr:colOff>
      <xdr:row>162</xdr:row>
      <xdr:rowOff>60875</xdr:rowOff>
    </xdr:from>
    <xdr:to>
      <xdr:col>26</xdr:col>
      <xdr:colOff>475515</xdr:colOff>
      <xdr:row>162</xdr:row>
      <xdr:rowOff>300932</xdr:rowOff>
    </xdr:to>
    <xdr:sp macro="" textlink="">
      <xdr:nvSpPr>
        <xdr:cNvPr id="1236" name="Arrow: Left 1235">
          <a:hlinkClick xmlns:r="http://schemas.openxmlformats.org/officeDocument/2006/relationships" r:id="rId2" tooltip="back to Harmony Politics tab"/>
          <a:extLst>
            <a:ext uri="{FF2B5EF4-FFF2-40B4-BE49-F238E27FC236}">
              <a16:creationId xmlns:a16="http://schemas.microsoft.com/office/drawing/2014/main" id="{00000000-0008-0000-0100-0000D4040000}"/>
            </a:ext>
          </a:extLst>
        </xdr:cNvPr>
        <xdr:cNvSpPr/>
      </xdr:nvSpPr>
      <xdr:spPr>
        <a:xfrm>
          <a:off x="10958363" y="42643975"/>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480863</xdr:colOff>
      <xdr:row>202</xdr:row>
      <xdr:rowOff>60128</xdr:rowOff>
    </xdr:from>
    <xdr:to>
      <xdr:col>26</xdr:col>
      <xdr:colOff>500915</xdr:colOff>
      <xdr:row>202</xdr:row>
      <xdr:rowOff>300185</xdr:rowOff>
    </xdr:to>
    <xdr:sp macro="" textlink="">
      <xdr:nvSpPr>
        <xdr:cNvPr id="1237" name="Arrow: Left 1236">
          <a:hlinkClick xmlns:r="http://schemas.openxmlformats.org/officeDocument/2006/relationships" r:id="rId2" tooltip="back to Harmony Politics tab"/>
          <a:extLst>
            <a:ext uri="{FF2B5EF4-FFF2-40B4-BE49-F238E27FC236}">
              <a16:creationId xmlns:a16="http://schemas.microsoft.com/office/drawing/2014/main" id="{00000000-0008-0000-0100-0000D5040000}"/>
            </a:ext>
          </a:extLst>
        </xdr:cNvPr>
        <xdr:cNvSpPr/>
      </xdr:nvSpPr>
      <xdr:spPr>
        <a:xfrm>
          <a:off x="10983763" y="51241128"/>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239</xdr:row>
      <xdr:rowOff>66104</xdr:rowOff>
    </xdr:from>
    <xdr:to>
      <xdr:col>26</xdr:col>
      <xdr:colOff>488215</xdr:colOff>
      <xdr:row>239</xdr:row>
      <xdr:rowOff>300185</xdr:rowOff>
    </xdr:to>
    <xdr:sp macro="" textlink="">
      <xdr:nvSpPr>
        <xdr:cNvPr id="1238" name="Arrow: Left 1237">
          <a:hlinkClick xmlns:r="http://schemas.openxmlformats.org/officeDocument/2006/relationships" r:id="rId2" tooltip="back to Harmony Politics tab"/>
          <a:extLst>
            <a:ext uri="{FF2B5EF4-FFF2-40B4-BE49-F238E27FC236}">
              <a16:creationId xmlns:a16="http://schemas.microsoft.com/office/drawing/2014/main" id="{00000000-0008-0000-0100-0000D6040000}"/>
            </a:ext>
          </a:extLst>
        </xdr:cNvPr>
        <xdr:cNvSpPr/>
      </xdr:nvSpPr>
      <xdr:spPr>
        <a:xfrm>
          <a:off x="10971063" y="598577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276</xdr:row>
      <xdr:rowOff>66104</xdr:rowOff>
    </xdr:from>
    <xdr:to>
      <xdr:col>26</xdr:col>
      <xdr:colOff>488215</xdr:colOff>
      <xdr:row>276</xdr:row>
      <xdr:rowOff>300185</xdr:rowOff>
    </xdr:to>
    <xdr:sp macro="" textlink="">
      <xdr:nvSpPr>
        <xdr:cNvPr id="1239" name="Arrow: Left 1238">
          <a:hlinkClick xmlns:r="http://schemas.openxmlformats.org/officeDocument/2006/relationships" r:id="rId2" tooltip="back to Harmony Politics tab"/>
          <a:extLst>
            <a:ext uri="{FF2B5EF4-FFF2-40B4-BE49-F238E27FC236}">
              <a16:creationId xmlns:a16="http://schemas.microsoft.com/office/drawing/2014/main" id="{00000000-0008-0000-0100-0000D7040000}"/>
            </a:ext>
          </a:extLst>
        </xdr:cNvPr>
        <xdr:cNvSpPr/>
      </xdr:nvSpPr>
      <xdr:spPr>
        <a:xfrm>
          <a:off x="10971063" y="682905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60960</xdr:colOff>
      <xdr:row>2</xdr:row>
      <xdr:rowOff>182880</xdr:rowOff>
    </xdr:from>
    <xdr:ext cx="5943600" cy="2080260"/>
    <xdr:sp macro="" textlink="">
      <xdr:nvSpPr>
        <xdr:cNvPr id="1240" name="Rectangle 1239">
          <a:hlinkClick xmlns:r="http://schemas.openxmlformats.org/officeDocument/2006/relationships" r:id="rId26" tooltip="to next page"/>
          <a:extLst>
            <a:ext uri="{FF2B5EF4-FFF2-40B4-BE49-F238E27FC236}">
              <a16:creationId xmlns:a16="http://schemas.microsoft.com/office/drawing/2014/main" id="{00000000-0008-0000-0100-0000D8040000}"/>
            </a:ext>
          </a:extLst>
        </xdr:cNvPr>
        <xdr:cNvSpPr/>
      </xdr:nvSpPr>
      <xdr:spPr>
        <a:xfrm>
          <a:off x="175260" y="876300"/>
          <a:ext cx="5943600" cy="2080260"/>
        </a:xfrm>
        <a:prstGeom prst="rect">
          <a:avLst/>
        </a:prstGeom>
        <a:noFill/>
      </xdr:spPr>
      <xdr:txBody>
        <a:bodyPr wrap="square" lIns="91440" tIns="45720" rIns="91440" bIns="45720" anchor="ctr">
          <a:noAutofit/>
        </a:bodyPr>
        <a:lstStyle/>
        <a:p>
          <a:pPr algn="ctr"/>
          <a:r>
            <a:rPr lang="en-US" sz="4800" b="0" cap="none" spc="0" baseline="0">
              <a:ln w="0"/>
              <a:solidFill>
                <a:srgbClr val="A5FFC8"/>
              </a:solidFill>
              <a:effectLst>
                <a:outerShdw blurRad="38100" dist="19050" dir="2700000" algn="tl" rotWithShape="0">
                  <a:schemeClr val="dk1">
                    <a:alpha val="40000"/>
                  </a:schemeClr>
                </a:outerShdw>
              </a:effectLst>
              <a:latin typeface="Arial Black" panose="020B0A04020102020204" pitchFamily="34" charset="0"/>
            </a:rPr>
            <a:t>Harmony</a:t>
          </a:r>
          <a:r>
            <a:rPr lang="en-US" sz="4800" b="0" cap="none" spc="0" baseline="0">
              <a:ln w="0"/>
              <a:solidFill>
                <a:srgbClr val="1E5A28"/>
              </a:solidFill>
              <a:effectLst>
                <a:outerShdw blurRad="38100" dist="19050" dir="2700000" algn="tl" rotWithShape="0">
                  <a:schemeClr val="dk1">
                    <a:alpha val="40000"/>
                  </a:schemeClr>
                </a:outerShdw>
              </a:effectLst>
              <a:latin typeface="Arial Black" panose="020B0A04020102020204" pitchFamily="34" charset="0"/>
            </a:rPr>
            <a:t> </a:t>
          </a:r>
          <a:r>
            <a:rPr lang="en-US" sz="4800" b="0" cap="none" spc="0" baseline="0">
              <a:ln w="0"/>
              <a:solidFill>
                <a:srgbClr val="FFCCFF"/>
              </a:solidFill>
              <a:effectLst>
                <a:outerShdw blurRad="38100" dist="19050" dir="2700000" algn="tl" rotWithShape="0">
                  <a:schemeClr val="dk1">
                    <a:alpha val="40000"/>
                  </a:schemeClr>
                </a:outerShdw>
              </a:effectLst>
              <a:latin typeface="Arial Black" panose="020B0A04020102020204" pitchFamily="34" charset="0"/>
            </a:rPr>
            <a:t>Politics</a:t>
          </a:r>
        </a:p>
        <a:p>
          <a:pPr algn="ctr"/>
          <a:r>
            <a:rPr lang="en-US" sz="5600" b="0" cap="none" spc="0" baseline="0">
              <a:ln w="0"/>
              <a:solidFill>
                <a:schemeClr val="bg1"/>
              </a:solidFill>
              <a:effectLst>
                <a:outerShdw blurRad="38100" dist="19050" dir="2700000" algn="tl" rotWithShape="0">
                  <a:schemeClr val="dk1">
                    <a:alpha val="40000"/>
                  </a:schemeClr>
                </a:outerShdw>
              </a:effectLst>
              <a:latin typeface="Arial Black" panose="020B0A04020102020204" pitchFamily="34" charset="0"/>
            </a:rPr>
            <a:t>for counselors</a:t>
          </a:r>
          <a:endParaRPr lang="en-US" sz="5600" b="0" cap="none" spc="0">
            <a:ln w="0"/>
            <a:solidFill>
              <a:schemeClr val="bg1"/>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1</xdr:col>
      <xdr:colOff>236220</xdr:colOff>
      <xdr:row>9</xdr:row>
      <xdr:rowOff>350520</xdr:rowOff>
    </xdr:from>
    <xdr:ext cx="5650372" cy="587661"/>
    <xdr:sp macro="" textlink="">
      <xdr:nvSpPr>
        <xdr:cNvPr id="1241" name="Rectangle 1240">
          <a:hlinkClick xmlns:r="http://schemas.openxmlformats.org/officeDocument/2006/relationships" r:id="rId27" tooltip="to HP tab (generic presentation of Harmony Politics)"/>
          <a:extLst>
            <a:ext uri="{FF2B5EF4-FFF2-40B4-BE49-F238E27FC236}">
              <a16:creationId xmlns:a16="http://schemas.microsoft.com/office/drawing/2014/main" id="{00000000-0008-0000-0100-0000D9040000}"/>
            </a:ext>
          </a:extLst>
        </xdr:cNvPr>
        <xdr:cNvSpPr/>
      </xdr:nvSpPr>
      <xdr:spPr>
        <a:xfrm>
          <a:off x="350520" y="3710940"/>
          <a:ext cx="5650372" cy="587661"/>
        </a:xfrm>
        <a:prstGeom prst="rect">
          <a:avLst/>
        </a:prstGeom>
        <a:noFill/>
      </xdr:spPr>
      <xdr:txBody>
        <a:bodyPr wrap="square" lIns="91440" tIns="45720" rIns="91440" bIns="45720">
          <a:spAutoFit/>
        </a:bodyPr>
        <a:lstStyle/>
        <a:p>
          <a:pPr algn="l"/>
          <a:r>
            <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With</a:t>
          </a:r>
          <a:r>
            <a:rPr lang="en-US" sz="32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Harmony Politics,</a:t>
          </a:r>
          <a:endPar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2</xdr:col>
      <xdr:colOff>224932</xdr:colOff>
      <xdr:row>11</xdr:row>
      <xdr:rowOff>358140</xdr:rowOff>
    </xdr:from>
    <xdr:ext cx="5029200" cy="835229"/>
    <xdr:sp macro="" textlink="">
      <xdr:nvSpPr>
        <xdr:cNvPr id="1242" name="Rectangle 1241">
          <a:extLst>
            <a:ext uri="{FF2B5EF4-FFF2-40B4-BE49-F238E27FC236}">
              <a16:creationId xmlns:a16="http://schemas.microsoft.com/office/drawing/2014/main" id="{00000000-0008-0000-0100-0000DA040000}"/>
            </a:ext>
          </a:extLst>
        </xdr:cNvPr>
        <xdr:cNvSpPr/>
      </xdr:nvSpPr>
      <xdr:spPr>
        <a:xfrm>
          <a:off x="842152" y="4480560"/>
          <a:ext cx="5029200" cy="835229"/>
        </a:xfrm>
        <a:prstGeom prst="rect">
          <a:avLst/>
        </a:prstGeom>
        <a:noFill/>
      </xdr:spPr>
      <xdr:txBody>
        <a:bodyPr wrap="square" lIns="91440" tIns="45720" rIns="91440" bIns="45720">
          <a:spAutoFit/>
        </a:bodyPr>
        <a:lstStyle/>
        <a:p>
          <a:pPr algn="l"/>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you</a:t>
          </a:r>
          <a:r>
            <a:rPr lang="en-US" sz="24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can a</a:t>
          </a:r>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ttract and retain ideologically diverse clients.</a:t>
          </a:r>
        </a:p>
      </xdr:txBody>
    </xdr:sp>
    <xdr:clientData/>
  </xdr:oneCellAnchor>
  <xdr:twoCellAnchor>
    <xdr:from>
      <xdr:col>1</xdr:col>
      <xdr:colOff>22860</xdr:colOff>
      <xdr:row>225</xdr:row>
      <xdr:rowOff>76200</xdr:rowOff>
    </xdr:from>
    <xdr:to>
      <xdr:col>12</xdr:col>
      <xdr:colOff>441959</xdr:colOff>
      <xdr:row>228</xdr:row>
      <xdr:rowOff>124320</xdr:rowOff>
    </xdr:to>
    <xdr:grpSp>
      <xdr:nvGrpSpPr>
        <xdr:cNvPr id="1244" name="Group 1243">
          <a:extLst>
            <a:ext uri="{FF2B5EF4-FFF2-40B4-BE49-F238E27FC236}">
              <a16:creationId xmlns:a16="http://schemas.microsoft.com/office/drawing/2014/main" id="{00000000-0008-0000-0100-0000DC040000}"/>
            </a:ext>
          </a:extLst>
        </xdr:cNvPr>
        <xdr:cNvGrpSpPr/>
      </xdr:nvGrpSpPr>
      <xdr:grpSpPr>
        <a:xfrm>
          <a:off x="137160" y="56327040"/>
          <a:ext cx="5951219" cy="924420"/>
          <a:chOff x="83821" y="39050100"/>
          <a:chExt cx="5951219" cy="924420"/>
        </a:xfrm>
      </xdr:grpSpPr>
      <xdr:pic>
        <xdr:nvPicPr>
          <xdr:cNvPr id="1245" name="Picture 1244">
            <a:extLst>
              <a:ext uri="{FF2B5EF4-FFF2-40B4-BE49-F238E27FC236}">
                <a16:creationId xmlns:a16="http://schemas.microsoft.com/office/drawing/2014/main" id="{00000000-0008-0000-0100-0000DD04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rot="600000">
            <a:off x="2263140" y="39060120"/>
            <a:ext cx="930876" cy="914400"/>
          </a:xfrm>
          <a:prstGeom prst="rect">
            <a:avLst/>
          </a:prstGeom>
        </xdr:spPr>
      </xdr:pic>
      <xdr:pic>
        <xdr:nvPicPr>
          <xdr:cNvPr id="1246" name="Picture 1245">
            <a:extLst>
              <a:ext uri="{FF2B5EF4-FFF2-40B4-BE49-F238E27FC236}">
                <a16:creationId xmlns:a16="http://schemas.microsoft.com/office/drawing/2014/main" id="{00000000-0008-0000-0100-0000DE04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rot="21000000">
            <a:off x="1628280" y="39050100"/>
            <a:ext cx="930876" cy="914400"/>
          </a:xfrm>
          <a:prstGeom prst="rect">
            <a:avLst/>
          </a:prstGeom>
        </xdr:spPr>
      </xdr:pic>
      <xdr:sp macro="" textlink="">
        <xdr:nvSpPr>
          <xdr:cNvPr id="1247" name="Speech Bubble: Rectangle with Corners Rounded 1246">
            <a:extLst>
              <a:ext uri="{FF2B5EF4-FFF2-40B4-BE49-F238E27FC236}">
                <a16:creationId xmlns:a16="http://schemas.microsoft.com/office/drawing/2014/main" id="{00000000-0008-0000-0100-0000DF040000}"/>
              </a:ext>
            </a:extLst>
          </xdr:cNvPr>
          <xdr:cNvSpPr/>
        </xdr:nvSpPr>
        <xdr:spPr>
          <a:xfrm>
            <a:off x="83821" y="39128700"/>
            <a:ext cx="1485899" cy="731520"/>
          </a:xfrm>
          <a:prstGeom prst="wedgeRoundRectCallout">
            <a:avLst>
              <a:gd name="adj1" fmla="val 75356"/>
              <a:gd name="adj2" fmla="val -6495"/>
              <a:gd name="adj3" fmla="val 16667"/>
            </a:avLst>
          </a:prstGeom>
          <a:solidFill>
            <a:srgbClr val="4B2364"/>
          </a:solidFill>
          <a:ln>
            <a:noFill/>
          </a:ln>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ctr"/>
          <a:lstStyle/>
          <a:p>
            <a:pPr algn="ctr"/>
            <a:r>
              <a:rPr lang="en-US" sz="1600" b="1">
                <a:solidFill>
                  <a:srgbClr val="EBDCFF"/>
                </a:solidFill>
                <a:latin typeface="Tahoma" panose="020B0604030504040204" pitchFamily="34" charset="0"/>
                <a:ea typeface="Tahoma" panose="020B0604030504040204" pitchFamily="34" charset="0"/>
                <a:cs typeface="Tahoma" panose="020B0604030504040204" pitchFamily="34" charset="0"/>
              </a:rPr>
              <a:t>Before we get to that...</a:t>
            </a:r>
            <a:endParaRPr lang="en-US" sz="1400" b="1">
              <a:solidFill>
                <a:srgbClr val="EBDCFF"/>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248" name="Speech Bubble: Rectangle with Corners Rounded 1247">
            <a:extLst>
              <a:ext uri="{FF2B5EF4-FFF2-40B4-BE49-F238E27FC236}">
                <a16:creationId xmlns:a16="http://schemas.microsoft.com/office/drawing/2014/main" id="{00000000-0008-0000-0100-0000E0040000}"/>
              </a:ext>
            </a:extLst>
          </xdr:cNvPr>
          <xdr:cNvSpPr/>
        </xdr:nvSpPr>
        <xdr:spPr>
          <a:xfrm>
            <a:off x="3253741" y="39128700"/>
            <a:ext cx="2781299" cy="731520"/>
          </a:xfrm>
          <a:prstGeom prst="wedgeRoundRectCallout">
            <a:avLst>
              <a:gd name="adj1" fmla="val -65184"/>
              <a:gd name="adj2" fmla="val 6234"/>
              <a:gd name="adj3" fmla="val 16667"/>
            </a:avLst>
          </a:prstGeom>
          <a:solidFill>
            <a:srgbClr val="4B2364"/>
          </a:solidFill>
          <a:ln>
            <a:noFill/>
          </a:ln>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ctr"/>
          <a:lstStyle/>
          <a:p>
            <a:pPr algn="ctr"/>
            <a:r>
              <a:rPr lang="en-US" sz="1600" b="1">
                <a:solidFill>
                  <a:srgbClr val="EBDCFF"/>
                </a:solidFill>
                <a:latin typeface="Tahoma" panose="020B0604030504040204" pitchFamily="34" charset="0"/>
                <a:ea typeface="Tahoma" panose="020B0604030504040204" pitchFamily="34" charset="0"/>
                <a:cs typeface="Tahoma" panose="020B0604030504040204" pitchFamily="34" charset="0"/>
              </a:rPr>
              <a:t>...let's address</a:t>
            </a:r>
            <a:r>
              <a:rPr lang="en-US" sz="1600" b="1" baseline="0">
                <a:solidFill>
                  <a:srgbClr val="EBDCFF"/>
                </a:solidFill>
                <a:latin typeface="Tahoma" panose="020B0604030504040204" pitchFamily="34" charset="0"/>
                <a:ea typeface="Tahoma" panose="020B0604030504040204" pitchFamily="34" charset="0"/>
                <a:cs typeface="Tahoma" panose="020B0604030504040204" pitchFamily="34" charset="0"/>
              </a:rPr>
              <a:t> your needs behind those beliefs.</a:t>
            </a:r>
            <a:endParaRPr lang="en-US" sz="1400" b="1">
              <a:solidFill>
                <a:srgbClr val="EBDCFF"/>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editAs="oneCell">
    <xdr:from>
      <xdr:col>8</xdr:col>
      <xdr:colOff>22411</xdr:colOff>
      <xdr:row>541</xdr:row>
      <xdr:rowOff>82475</xdr:rowOff>
    </xdr:from>
    <xdr:to>
      <xdr:col>13</xdr:col>
      <xdr:colOff>44823</xdr:colOff>
      <xdr:row>546</xdr:row>
      <xdr:rowOff>194236</xdr:rowOff>
    </xdr:to>
    <xdr:pic>
      <xdr:nvPicPr>
        <xdr:cNvPr id="1249" name="Picture 1248">
          <a:extLst>
            <a:ext uri="{FF2B5EF4-FFF2-40B4-BE49-F238E27FC236}">
              <a16:creationId xmlns:a16="http://schemas.microsoft.com/office/drawing/2014/main" id="{00000000-0008-0000-0100-0000E10400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a:stretch/>
      </xdr:blipFill>
      <xdr:spPr>
        <a:xfrm>
          <a:off x="3638176" y="129054710"/>
          <a:ext cx="2525059" cy="1381761"/>
        </a:xfrm>
        <a:prstGeom prst="rect">
          <a:avLst/>
        </a:prstGeom>
      </xdr:spPr>
    </xdr:pic>
    <xdr:clientData/>
  </xdr:twoCellAnchor>
  <xdr:twoCellAnchor>
    <xdr:from>
      <xdr:col>1</xdr:col>
      <xdr:colOff>0</xdr:colOff>
      <xdr:row>648</xdr:row>
      <xdr:rowOff>258917</xdr:rowOff>
    </xdr:from>
    <xdr:to>
      <xdr:col>12</xdr:col>
      <xdr:colOff>407204</xdr:colOff>
      <xdr:row>656</xdr:row>
      <xdr:rowOff>38082</xdr:rowOff>
    </xdr:to>
    <xdr:grpSp>
      <xdr:nvGrpSpPr>
        <xdr:cNvPr id="1261" name="Group 1260">
          <a:extLst>
            <a:ext uri="{FF2B5EF4-FFF2-40B4-BE49-F238E27FC236}">
              <a16:creationId xmlns:a16="http://schemas.microsoft.com/office/drawing/2014/main" id="{00000000-0008-0000-0100-0000ED040000}"/>
            </a:ext>
          </a:extLst>
        </xdr:cNvPr>
        <xdr:cNvGrpSpPr/>
      </xdr:nvGrpSpPr>
      <xdr:grpSpPr>
        <a:xfrm>
          <a:off x="114300" y="155059217"/>
          <a:ext cx="5939324" cy="1638445"/>
          <a:chOff x="6232607" y="13243257"/>
          <a:chExt cx="5855804" cy="1141162"/>
        </a:xfrm>
      </xdr:grpSpPr>
      <xdr:sp macro="" textlink="">
        <xdr:nvSpPr>
          <xdr:cNvPr id="1262" name="TextBox 1261">
            <a:extLst>
              <a:ext uri="{FF2B5EF4-FFF2-40B4-BE49-F238E27FC236}">
                <a16:creationId xmlns:a16="http://schemas.microsoft.com/office/drawing/2014/main" id="{00000000-0008-0000-0100-0000EE040000}"/>
              </a:ext>
            </a:extLst>
          </xdr:cNvPr>
          <xdr:cNvSpPr txBox="1"/>
        </xdr:nvSpPr>
        <xdr:spPr>
          <a:xfrm>
            <a:off x="6274441" y="13243257"/>
            <a:ext cx="5744193" cy="20367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500" b="1" spc="90" baseline="0">
                <a:ln>
                  <a:solidFill>
                    <a:srgbClr val="FF0066"/>
                  </a:solidFill>
                </a:ln>
                <a:solidFill>
                  <a:srgbClr val="C00000"/>
                </a:solidFill>
                <a:latin typeface="Tahoma" panose="020B0604030504040204" pitchFamily="34" charset="0"/>
                <a:ea typeface="Tahoma" panose="020B0604030504040204" pitchFamily="34" charset="0"/>
                <a:cs typeface="Tahoma" panose="020B0604030504040204" pitchFamily="34" charset="0"/>
              </a:rPr>
              <a:t>The competition that matters most is who loves more.</a:t>
            </a:r>
          </a:p>
        </xdr:txBody>
      </xdr:sp>
      <xdr:grpSp>
        <xdr:nvGrpSpPr>
          <xdr:cNvPr id="1263" name="Group 1262">
            <a:extLst>
              <a:ext uri="{FF2B5EF4-FFF2-40B4-BE49-F238E27FC236}">
                <a16:creationId xmlns:a16="http://schemas.microsoft.com/office/drawing/2014/main" id="{00000000-0008-0000-0100-0000EF040000}"/>
              </a:ext>
            </a:extLst>
          </xdr:cNvPr>
          <xdr:cNvGrpSpPr/>
        </xdr:nvGrpSpPr>
        <xdr:grpSpPr>
          <a:xfrm>
            <a:off x="6269787" y="13280189"/>
            <a:ext cx="5692708" cy="1104230"/>
            <a:chOff x="6269787" y="13280189"/>
            <a:chExt cx="5692708" cy="1104230"/>
          </a:xfrm>
        </xdr:grpSpPr>
        <xdr:sp macro="" textlink="">
          <xdr:nvSpPr>
            <xdr:cNvPr id="1270" name="TextBox 1269">
              <a:extLst>
                <a:ext uri="{FF2B5EF4-FFF2-40B4-BE49-F238E27FC236}">
                  <a16:creationId xmlns:a16="http://schemas.microsoft.com/office/drawing/2014/main" id="{00000000-0008-0000-0100-0000F6040000}"/>
                </a:ext>
              </a:extLst>
            </xdr:cNvPr>
            <xdr:cNvSpPr txBox="1"/>
          </xdr:nvSpPr>
          <xdr:spPr>
            <a:xfrm>
              <a:off x="6269787" y="13280189"/>
              <a:ext cx="2743200" cy="10431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0800" b="0" baseline="0">
                  <a:ln>
                    <a:solidFill>
                      <a:schemeClr val="accent4">
                        <a:lumMod val="20000"/>
                        <a:lumOff val="80000"/>
                      </a:schemeClr>
                    </a:solidFill>
                  </a:ln>
                  <a:gradFill flip="none" rotWithShape="1">
                    <a:gsLst>
                      <a:gs pos="50000">
                        <a:schemeClr val="accent2">
                          <a:lumMod val="60000"/>
                          <a:lumOff val="40000"/>
                          <a:alpha val="50000"/>
                        </a:schemeClr>
                      </a:gs>
                      <a:gs pos="0">
                        <a:schemeClr val="accent2">
                          <a:lumMod val="60000"/>
                          <a:lumOff val="40000"/>
                          <a:alpha val="60000"/>
                        </a:schemeClr>
                      </a:gs>
                      <a:gs pos="100000">
                        <a:schemeClr val="accent2">
                          <a:lumMod val="20000"/>
                          <a:lumOff val="80000"/>
                          <a:alpha val="80000"/>
                        </a:schemeClr>
                      </a:gs>
                    </a:gsLst>
                    <a:lin ang="5400000" scaled="1"/>
                    <a:tileRect/>
                  </a:gradFill>
                  <a:effectLst>
                    <a:glow rad="50800">
                      <a:schemeClr val="accent2">
                        <a:lumMod val="40000"/>
                        <a:lumOff val="60000"/>
                        <a:alpha val="30000"/>
                      </a:schemeClr>
                    </a:glow>
                  </a:effectLst>
                  <a:latin typeface="Impact" panose="020B0806030902050204" pitchFamily="34" charset="0"/>
                  <a:ea typeface="Tahoma" panose="020B0604030504040204" pitchFamily="34" charset="0"/>
                  <a:cs typeface="Tahoma" panose="020B0604030504040204" pitchFamily="34" charset="0"/>
                </a:rPr>
                <a:t>HATE</a:t>
              </a:r>
            </a:p>
          </xdr:txBody>
        </xdr:sp>
        <xdr:sp macro="" textlink="">
          <xdr:nvSpPr>
            <xdr:cNvPr id="1271" name="TextBox 1270">
              <a:extLst>
                <a:ext uri="{FF2B5EF4-FFF2-40B4-BE49-F238E27FC236}">
                  <a16:creationId xmlns:a16="http://schemas.microsoft.com/office/drawing/2014/main" id="{00000000-0008-0000-0100-0000F7040000}"/>
                </a:ext>
              </a:extLst>
            </xdr:cNvPr>
            <xdr:cNvSpPr txBox="1"/>
          </xdr:nvSpPr>
          <xdr:spPr>
            <a:xfrm>
              <a:off x="9219295" y="13280189"/>
              <a:ext cx="2743200" cy="10484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r"/>
              <a:r>
                <a:rPr lang="en-US" sz="10800" b="0" baseline="0">
                  <a:ln>
                    <a:solidFill>
                      <a:srgbClr val="FFCCCC"/>
                    </a:solidFill>
                  </a:ln>
                  <a:gradFill flip="none" rotWithShape="1">
                    <a:gsLst>
                      <a:gs pos="0">
                        <a:srgbClr val="FF6699">
                          <a:alpha val="41000"/>
                        </a:srgbClr>
                      </a:gs>
                      <a:gs pos="50000">
                        <a:srgbClr val="FF0066">
                          <a:alpha val="25000"/>
                        </a:srgbClr>
                      </a:gs>
                      <a:gs pos="100000">
                        <a:srgbClr val="FFCCCC">
                          <a:alpha val="80000"/>
                        </a:srgbClr>
                      </a:gs>
                    </a:gsLst>
                    <a:lin ang="16200000" scaled="1"/>
                    <a:tileRect/>
                  </a:gradFill>
                  <a:effectLst>
                    <a:glow rad="50800">
                      <a:srgbClr val="FF0066">
                        <a:alpha val="30000"/>
                      </a:srgbClr>
                    </a:glow>
                  </a:effectLst>
                  <a:latin typeface="Impact" panose="020B0806030902050204" pitchFamily="34" charset="0"/>
                  <a:ea typeface="Tahoma" panose="020B0604030504040204" pitchFamily="34" charset="0"/>
                  <a:cs typeface="Tahoma" panose="020B0604030504040204" pitchFamily="34" charset="0"/>
                </a:rPr>
                <a:t>LOVE</a:t>
              </a:r>
            </a:p>
          </xdr:txBody>
        </xdr:sp>
        <xdr:sp macro="" textlink="">
          <xdr:nvSpPr>
            <xdr:cNvPr id="1272" name="TextBox 1271">
              <a:extLst>
                <a:ext uri="{FF2B5EF4-FFF2-40B4-BE49-F238E27FC236}">
                  <a16:creationId xmlns:a16="http://schemas.microsoft.com/office/drawing/2014/main" id="{00000000-0008-0000-0100-0000F8040000}"/>
                </a:ext>
              </a:extLst>
            </xdr:cNvPr>
            <xdr:cNvSpPr txBox="1"/>
          </xdr:nvSpPr>
          <xdr:spPr>
            <a:xfrm>
              <a:off x="8896973" y="13766797"/>
              <a:ext cx="516019" cy="6176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4000" b="0" baseline="0">
                  <a:ln>
                    <a:solidFill>
                      <a:schemeClr val="tx1">
                        <a:lumMod val="50000"/>
                        <a:lumOff val="50000"/>
                        <a:alpha val="50000"/>
                      </a:schemeClr>
                    </a:solidFill>
                  </a:ln>
                  <a:solidFill>
                    <a:schemeClr val="bg1">
                      <a:lumMod val="65000"/>
                      <a:alpha val="34000"/>
                    </a:schemeClr>
                  </a:solidFill>
                  <a:effectLst>
                    <a:glow rad="76200">
                      <a:schemeClr val="bg1">
                        <a:lumMod val="75000"/>
                        <a:alpha val="60000"/>
                      </a:schemeClr>
                    </a:glow>
                  </a:effectLst>
                  <a:latin typeface="Impact" panose="020B0806030902050204" pitchFamily="34" charset="0"/>
                  <a:ea typeface="Tahoma" panose="020B0604030504040204" pitchFamily="34" charset="0"/>
                  <a:cs typeface="Tahoma" panose="020B0604030504040204" pitchFamily="34" charset="0"/>
                </a:rPr>
                <a:t>or</a:t>
              </a:r>
            </a:p>
          </xdr:txBody>
        </xdr:sp>
      </xdr:grpSp>
      <xdr:sp macro="" textlink="">
        <xdr:nvSpPr>
          <xdr:cNvPr id="1264" name="TextBox 1263">
            <a:extLst>
              <a:ext uri="{FF2B5EF4-FFF2-40B4-BE49-F238E27FC236}">
                <a16:creationId xmlns:a16="http://schemas.microsoft.com/office/drawing/2014/main" id="{00000000-0008-0000-0100-0000F0040000}"/>
              </a:ext>
            </a:extLst>
          </xdr:cNvPr>
          <xdr:cNvSpPr txBox="1"/>
        </xdr:nvSpPr>
        <xdr:spPr>
          <a:xfrm rot="172511">
            <a:off x="6522684" y="13484683"/>
            <a:ext cx="2359527"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PROVE THEM WRONG</a:t>
            </a:r>
          </a:p>
        </xdr:txBody>
      </xdr:sp>
      <xdr:sp macro="" textlink="">
        <xdr:nvSpPr>
          <xdr:cNvPr id="1265" name="TextBox 1264">
            <a:extLst>
              <a:ext uri="{FF2B5EF4-FFF2-40B4-BE49-F238E27FC236}">
                <a16:creationId xmlns:a16="http://schemas.microsoft.com/office/drawing/2014/main" id="{00000000-0008-0000-0100-0000F1040000}"/>
              </a:ext>
            </a:extLst>
          </xdr:cNvPr>
          <xdr:cNvSpPr txBox="1"/>
        </xdr:nvSpPr>
        <xdr:spPr>
          <a:xfrm rot="21358142">
            <a:off x="6232607" y="14082891"/>
            <a:ext cx="2695266"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DENOUNCE THEM AS BAD</a:t>
            </a:r>
          </a:p>
        </xdr:txBody>
      </xdr:sp>
      <xdr:sp macro="" textlink="">
        <xdr:nvSpPr>
          <xdr:cNvPr id="1266" name="TextBox 1265">
            <a:extLst>
              <a:ext uri="{FF2B5EF4-FFF2-40B4-BE49-F238E27FC236}">
                <a16:creationId xmlns:a16="http://schemas.microsoft.com/office/drawing/2014/main" id="{00000000-0008-0000-0100-0000F2040000}"/>
              </a:ext>
            </a:extLst>
          </xdr:cNvPr>
          <xdr:cNvSpPr txBox="1"/>
        </xdr:nvSpPr>
        <xdr:spPr>
          <a:xfrm rot="21126775">
            <a:off x="6432155" y="13756132"/>
            <a:ext cx="2080482" cy="317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lnSpc>
                <a:spcPts val="1400"/>
              </a:lnSpc>
            </a:pP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CLAIM ONLY YOUR SIDE IS RIGHT</a:t>
            </a:r>
          </a:p>
        </xdr:txBody>
      </xdr:sp>
      <xdr:sp macro="" textlink="">
        <xdr:nvSpPr>
          <xdr:cNvPr id="1267" name="TextBox 1266">
            <a:extLst>
              <a:ext uri="{FF2B5EF4-FFF2-40B4-BE49-F238E27FC236}">
                <a16:creationId xmlns:a16="http://schemas.microsoft.com/office/drawing/2014/main" id="{00000000-0008-0000-0100-0000F3040000}"/>
              </a:ext>
            </a:extLst>
          </xdr:cNvPr>
          <xdr:cNvSpPr txBox="1"/>
        </xdr:nvSpPr>
        <xdr:spPr>
          <a:xfrm rot="21420000">
            <a:off x="9376259" y="13484262"/>
            <a:ext cx="2686064"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PROVE YOU LISTEN MORE</a:t>
            </a:r>
          </a:p>
        </xdr:txBody>
      </xdr:sp>
      <xdr:sp macro="" textlink="">
        <xdr:nvSpPr>
          <xdr:cNvPr id="1268" name="TextBox 1267">
            <a:extLst>
              <a:ext uri="{FF2B5EF4-FFF2-40B4-BE49-F238E27FC236}">
                <a16:creationId xmlns:a16="http://schemas.microsoft.com/office/drawing/2014/main" id="{00000000-0008-0000-0100-0000F4040000}"/>
              </a:ext>
            </a:extLst>
          </xdr:cNvPr>
          <xdr:cNvSpPr txBox="1"/>
        </xdr:nvSpPr>
        <xdr:spPr>
          <a:xfrm rot="240000">
            <a:off x="9459776" y="14090393"/>
            <a:ext cx="2448312"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AFFIRM MORE NEEDS</a:t>
            </a:r>
          </a:p>
        </xdr:txBody>
      </xdr:sp>
      <xdr:sp macro="" textlink="">
        <xdr:nvSpPr>
          <xdr:cNvPr id="1269" name="TextBox 1268">
            <a:extLst>
              <a:ext uri="{FF2B5EF4-FFF2-40B4-BE49-F238E27FC236}">
                <a16:creationId xmlns:a16="http://schemas.microsoft.com/office/drawing/2014/main" id="{00000000-0008-0000-0100-0000F5040000}"/>
              </a:ext>
            </a:extLst>
          </xdr:cNvPr>
          <xdr:cNvSpPr txBox="1"/>
        </xdr:nvSpPr>
        <xdr:spPr>
          <a:xfrm rot="480000">
            <a:off x="10031955" y="13765881"/>
            <a:ext cx="2056456" cy="317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lnSpc>
                <a:spcPts val="1400"/>
              </a:lnSpc>
            </a:pP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OFFER MORE THAN THEY WILL OFFER</a:t>
            </a:r>
          </a:p>
        </xdr:txBody>
      </xdr:sp>
    </xdr:grpSp>
    <xdr:clientData/>
  </xdr:twoCellAnchor>
  <xdr:twoCellAnchor>
    <xdr:from>
      <xdr:col>15</xdr:col>
      <xdr:colOff>38249</xdr:colOff>
      <xdr:row>644</xdr:row>
      <xdr:rowOff>392505</xdr:rowOff>
    </xdr:from>
    <xdr:to>
      <xdr:col>26</xdr:col>
      <xdr:colOff>449728</xdr:colOff>
      <xdr:row>648</xdr:row>
      <xdr:rowOff>82176</xdr:rowOff>
    </xdr:to>
    <xdr:sp macro="" textlink="">
      <xdr:nvSpPr>
        <xdr:cNvPr id="1204" name="TextBox 1203">
          <a:extLst>
            <a:ext uri="{FF2B5EF4-FFF2-40B4-BE49-F238E27FC236}">
              <a16:creationId xmlns:a16="http://schemas.microsoft.com/office/drawing/2014/main" id="{00000000-0008-0000-0100-0000B4040000}"/>
            </a:ext>
          </a:extLst>
        </xdr:cNvPr>
        <xdr:cNvSpPr txBox="1"/>
      </xdr:nvSpPr>
      <xdr:spPr>
        <a:xfrm>
          <a:off x="6380778" y="154488329"/>
          <a:ext cx="5917303" cy="89243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Political leaders lead poorly when pitting needs against each other. Harmony Politics can empower you and your client to lead these leaders. Their legitimacy is diminished when failing to integrate the needs of both sides. You and your client can replace petty divisive politics with the more compelling competitio of who can love others the most.</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91588</xdr:colOff>
      <xdr:row>619</xdr:row>
      <xdr:rowOff>10010</xdr:rowOff>
    </xdr:from>
    <xdr:to>
      <xdr:col>27</xdr:col>
      <xdr:colOff>28835</xdr:colOff>
      <xdr:row>622</xdr:row>
      <xdr:rowOff>209177</xdr:rowOff>
    </xdr:to>
    <xdr:sp macro="" textlink="">
      <xdr:nvSpPr>
        <xdr:cNvPr id="1312" name="TextBox 1311">
          <a:extLst>
            <a:ext uri="{FF2B5EF4-FFF2-40B4-BE49-F238E27FC236}">
              <a16:creationId xmlns:a16="http://schemas.microsoft.com/office/drawing/2014/main" id="{00000000-0008-0000-0100-000020050000}"/>
            </a:ext>
          </a:extLst>
        </xdr:cNvPr>
        <xdr:cNvSpPr txBox="1"/>
      </xdr:nvSpPr>
      <xdr:spPr>
        <a:xfrm>
          <a:off x="6434117" y="148293716"/>
          <a:ext cx="5943600" cy="84910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I invite you to help me develop a fresh online model for therapy. Instead of focusing on changes within your client, psychosociotherapy supports your client to change their relations with powerful others. They have their direct relation with you to work from. I invite you to empower your client to speak their truth to political power, using what I call the </a:t>
          </a:r>
          <a:r>
            <a:rPr lang="en-US" sz="1100" b="1" baseline="0">
              <a:solidFill>
                <a:schemeClr val="dk1"/>
              </a:solidFill>
              <a:effectLst/>
              <a:latin typeface="Cambria" panose="02040503050406030204" pitchFamily="18" charset="0"/>
              <a:ea typeface="Cambria" panose="02040503050406030204" pitchFamily="18" charset="0"/>
              <a:cs typeface="+mn-cs"/>
            </a:rPr>
            <a:t>impact parity model</a:t>
          </a:r>
          <a:r>
            <a:rPr lang="en-US" sz="1100" b="0" baseline="0">
              <a:solidFill>
                <a:schemeClr val="dk1"/>
              </a:solidFill>
              <a:effectLst/>
              <a:latin typeface="Cambria" panose="02040503050406030204" pitchFamily="18" charset="0"/>
              <a:ea typeface="Cambria" panose="02040503050406030204" pitchFamily="18" charset="0"/>
              <a:cs typeface="+mn-cs"/>
            </a:rPr>
            <a:t>.</a:t>
          </a:r>
          <a:endParaRPr lang="en-US" sz="1050">
            <a:latin typeface="Arial Narrow" panose="020B0606020202030204" pitchFamily="34" charset="0"/>
          </a:endParaRPr>
        </a:p>
      </xdr:txBody>
    </xdr:sp>
    <xdr:clientData/>
  </xdr:twoCellAnchor>
  <xdr:twoCellAnchor>
    <xdr:from>
      <xdr:col>15</xdr:col>
      <xdr:colOff>29883</xdr:colOff>
      <xdr:row>609</xdr:row>
      <xdr:rowOff>24355</xdr:rowOff>
    </xdr:from>
    <xdr:to>
      <xdr:col>26</xdr:col>
      <xdr:colOff>441362</xdr:colOff>
      <xdr:row>609</xdr:row>
      <xdr:rowOff>657412</xdr:rowOff>
    </xdr:to>
    <xdr:sp macro="" textlink="">
      <xdr:nvSpPr>
        <xdr:cNvPr id="1321" name="TextBox 1320">
          <a:extLst>
            <a:ext uri="{FF2B5EF4-FFF2-40B4-BE49-F238E27FC236}">
              <a16:creationId xmlns:a16="http://schemas.microsoft.com/office/drawing/2014/main" id="{00000000-0008-0000-0100-000029050000}"/>
            </a:ext>
          </a:extLst>
        </xdr:cNvPr>
        <xdr:cNvSpPr txBox="1"/>
      </xdr:nvSpPr>
      <xdr:spPr>
        <a:xfrm>
          <a:off x="6372412" y="144894002"/>
          <a:ext cx="5917303" cy="633057"/>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100" b="0">
              <a:solidFill>
                <a:srgbClr val="E1FFEB"/>
              </a:solidFill>
              <a:latin typeface="+mn-lt"/>
              <a:ea typeface="+mn-ea"/>
              <a:cs typeface="+mn-cs"/>
            </a:rPr>
            <a:t>These address psychosocial needs at the individual level with traditional psychotherapy. Discover how </a:t>
          </a:r>
          <a:r>
            <a:rPr lang="en-US" sz="1100" b="1" i="1">
              <a:solidFill>
                <a:srgbClr val="E1FFEB"/>
              </a:solidFill>
              <a:latin typeface="+mn-lt"/>
              <a:ea typeface="+mn-ea"/>
              <a:cs typeface="+mn-cs"/>
            </a:rPr>
            <a:t>psychosociotherapy</a:t>
          </a:r>
          <a:r>
            <a:rPr lang="en-US" sz="1100" b="0">
              <a:solidFill>
                <a:srgbClr val="E1FFEB"/>
              </a:solidFill>
              <a:latin typeface="+mn-lt"/>
              <a:ea typeface="+mn-ea"/>
              <a:cs typeface="+mn-cs"/>
            </a:rPr>
            <a:t> can address such psychosocial needs on both a personal and interpersonal or social level. </a:t>
          </a:r>
        </a:p>
      </xdr:txBody>
    </xdr:sp>
    <xdr:clientData/>
  </xdr:twoCellAnchor>
  <xdr:twoCellAnchor>
    <xdr:from>
      <xdr:col>6</xdr:col>
      <xdr:colOff>421772</xdr:colOff>
      <xdr:row>665</xdr:row>
      <xdr:rowOff>233777</xdr:rowOff>
    </xdr:from>
    <xdr:to>
      <xdr:col>12</xdr:col>
      <xdr:colOff>374094</xdr:colOff>
      <xdr:row>669</xdr:row>
      <xdr:rowOff>149701</xdr:rowOff>
    </xdr:to>
    <xdr:grpSp>
      <xdr:nvGrpSpPr>
        <xdr:cNvPr id="1350" name="ALERT scale left">
          <a:extLst>
            <a:ext uri="{FF2B5EF4-FFF2-40B4-BE49-F238E27FC236}">
              <a16:creationId xmlns:a16="http://schemas.microsoft.com/office/drawing/2014/main" id="{00000000-0008-0000-0100-000046050000}"/>
            </a:ext>
          </a:extLst>
        </xdr:cNvPr>
        <xdr:cNvGrpSpPr>
          <a:grpSpLocks/>
        </xdr:cNvGrpSpPr>
      </xdr:nvGrpSpPr>
      <xdr:grpSpPr>
        <a:xfrm rot="893733">
          <a:off x="3050672" y="158965997"/>
          <a:ext cx="2969842" cy="921764"/>
          <a:chOff x="1949301" y="3596783"/>
          <a:chExt cx="5248139" cy="1889617"/>
        </a:xfrm>
        <a:effectLst>
          <a:glow rad="25400">
            <a:schemeClr val="accent4">
              <a:lumMod val="50000"/>
              <a:alpha val="90000"/>
            </a:schemeClr>
          </a:glow>
          <a:outerShdw blurRad="25400" dist="25400" dir="5400000" algn="t" rotWithShape="0">
            <a:prstClr val="black">
              <a:alpha val="40000"/>
            </a:prstClr>
          </a:outerShdw>
        </a:effectLst>
      </xdr:grpSpPr>
      <xdr:sp macro="" textlink="">
        <xdr:nvSpPr>
          <xdr:cNvPr id="1351" name="Cross Brace">
            <a:extLst>
              <a:ext uri="{FF2B5EF4-FFF2-40B4-BE49-F238E27FC236}">
                <a16:creationId xmlns:a16="http://schemas.microsoft.com/office/drawing/2014/main" id="{00000000-0008-0000-0100-000047050000}"/>
              </a:ext>
            </a:extLst>
          </xdr:cNvPr>
          <xdr:cNvSpPr/>
        </xdr:nvSpPr>
        <xdr:spPr>
          <a:xfrm rot="5400000">
            <a:off x="4229100" y="2400300"/>
            <a:ext cx="685800" cy="3657600"/>
          </a:xfrm>
          <a:prstGeom prst="rightBrac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2" name="Right Bracket">
            <a:extLst>
              <a:ext uri="{FF2B5EF4-FFF2-40B4-BE49-F238E27FC236}">
                <a16:creationId xmlns:a16="http://schemas.microsoft.com/office/drawing/2014/main" id="{00000000-0008-0000-0100-000048050000}"/>
              </a:ext>
            </a:extLst>
          </xdr:cNvPr>
          <xdr:cNvSpPr/>
        </xdr:nvSpPr>
        <xdr:spPr>
          <a:xfrm rot="4506267">
            <a:off x="6260179" y="2933844"/>
            <a:ext cx="274321"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3" name="Left Bracket">
            <a:extLst>
              <a:ext uri="{FF2B5EF4-FFF2-40B4-BE49-F238E27FC236}">
                <a16:creationId xmlns:a16="http://schemas.microsoft.com/office/drawing/2014/main" id="{00000000-0008-0000-0100-000049050000}"/>
              </a:ext>
            </a:extLst>
          </xdr:cNvPr>
          <xdr:cNvSpPr/>
        </xdr:nvSpPr>
        <xdr:spPr>
          <a:xfrm rot="4506267">
            <a:off x="2612241"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4" name="scale base">
            <a:extLst>
              <a:ext uri="{FF2B5EF4-FFF2-40B4-BE49-F238E27FC236}">
                <a16:creationId xmlns:a16="http://schemas.microsoft.com/office/drawing/2014/main" id="{00000000-0008-0000-0100-00004A050000}"/>
              </a:ext>
            </a:extLst>
          </xdr:cNvPr>
          <xdr:cNvSpPr/>
        </xdr:nvSpPr>
        <xdr:spPr>
          <a:xfrm rot="20771790">
            <a:off x="3886200" y="4572000"/>
            <a:ext cx="1371600" cy="914400"/>
          </a:xfrm>
          <a:prstGeom prst="pie">
            <a:avLst>
              <a:gd name="adj1" fmla="val 10753755"/>
              <a:gd name="adj2" fmla="val 21569657"/>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grpSp>
    <xdr:clientData/>
  </xdr:twoCellAnchor>
  <xdr:twoCellAnchor>
    <xdr:from>
      <xdr:col>7</xdr:col>
      <xdr:colOff>126987</xdr:colOff>
      <xdr:row>659</xdr:row>
      <xdr:rowOff>249053</xdr:rowOff>
    </xdr:from>
    <xdr:to>
      <xdr:col>13</xdr:col>
      <xdr:colOff>81267</xdr:colOff>
      <xdr:row>663</xdr:row>
      <xdr:rowOff>157613</xdr:rowOff>
    </xdr:to>
    <xdr:grpSp>
      <xdr:nvGrpSpPr>
        <xdr:cNvPr id="1355" name="ALERT scale right">
          <a:extLst>
            <a:ext uri="{FF2B5EF4-FFF2-40B4-BE49-F238E27FC236}">
              <a16:creationId xmlns:a16="http://schemas.microsoft.com/office/drawing/2014/main" id="{00000000-0008-0000-0100-00004B050000}"/>
            </a:ext>
          </a:extLst>
        </xdr:cNvPr>
        <xdr:cNvGrpSpPr>
          <a:grpSpLocks/>
        </xdr:cNvGrpSpPr>
      </xdr:nvGrpSpPr>
      <xdr:grpSpPr>
        <a:xfrm rot="20746650">
          <a:off x="3258807" y="157472513"/>
          <a:ext cx="2971800" cy="914400"/>
          <a:chOff x="1949302" y="3611880"/>
          <a:chExt cx="5251598" cy="1874520"/>
        </a:xfrm>
        <a:effectLst>
          <a:glow rad="25400">
            <a:schemeClr val="accent4">
              <a:lumMod val="50000"/>
              <a:alpha val="90000"/>
            </a:schemeClr>
          </a:glow>
          <a:outerShdw blurRad="25400" dist="25400" dir="5400000" algn="t" rotWithShape="0">
            <a:prstClr val="black">
              <a:alpha val="40000"/>
            </a:prstClr>
          </a:outerShdw>
        </a:effectLst>
      </xdr:grpSpPr>
      <xdr:sp macro="" textlink="">
        <xdr:nvSpPr>
          <xdr:cNvPr id="1356" name="Cross Brace">
            <a:extLst>
              <a:ext uri="{FF2B5EF4-FFF2-40B4-BE49-F238E27FC236}">
                <a16:creationId xmlns:a16="http://schemas.microsoft.com/office/drawing/2014/main" id="{00000000-0008-0000-0100-00004C050000}"/>
              </a:ext>
            </a:extLst>
          </xdr:cNvPr>
          <xdr:cNvSpPr/>
        </xdr:nvSpPr>
        <xdr:spPr>
          <a:xfrm rot="5400000">
            <a:off x="4229100" y="2400300"/>
            <a:ext cx="685800" cy="3657600"/>
          </a:xfrm>
          <a:prstGeom prst="rightBrac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7" name="Right Bracket">
            <a:extLst>
              <a:ext uri="{FF2B5EF4-FFF2-40B4-BE49-F238E27FC236}">
                <a16:creationId xmlns:a16="http://schemas.microsoft.com/office/drawing/2014/main" id="{00000000-0008-0000-0100-00004D050000}"/>
              </a:ext>
            </a:extLst>
          </xdr:cNvPr>
          <xdr:cNvSpPr/>
        </xdr:nvSpPr>
        <xdr:spPr>
          <a:xfrm rot="6253350">
            <a:off x="6263640"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8" name="Left Bracket">
            <a:extLst>
              <a:ext uri="{FF2B5EF4-FFF2-40B4-BE49-F238E27FC236}">
                <a16:creationId xmlns:a16="http://schemas.microsoft.com/office/drawing/2014/main" id="{00000000-0008-0000-0100-00004E050000}"/>
              </a:ext>
            </a:extLst>
          </xdr:cNvPr>
          <xdr:cNvSpPr/>
        </xdr:nvSpPr>
        <xdr:spPr>
          <a:xfrm rot="6253350">
            <a:off x="2612242"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9" name="scale base">
            <a:extLst>
              <a:ext uri="{FF2B5EF4-FFF2-40B4-BE49-F238E27FC236}">
                <a16:creationId xmlns:a16="http://schemas.microsoft.com/office/drawing/2014/main" id="{00000000-0008-0000-0100-00004F050000}"/>
              </a:ext>
            </a:extLst>
          </xdr:cNvPr>
          <xdr:cNvSpPr/>
        </xdr:nvSpPr>
        <xdr:spPr>
          <a:xfrm rot="875995">
            <a:off x="3886200" y="4572000"/>
            <a:ext cx="1371600" cy="914400"/>
          </a:xfrm>
          <a:prstGeom prst="pie">
            <a:avLst>
              <a:gd name="adj1" fmla="val 10753755"/>
              <a:gd name="adj2" fmla="val 21569657"/>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grpSp>
    <xdr:clientData/>
  </xdr:twoCellAnchor>
  <xdr:twoCellAnchor>
    <xdr:from>
      <xdr:col>15</xdr:col>
      <xdr:colOff>49857</xdr:colOff>
      <xdr:row>678</xdr:row>
      <xdr:rowOff>119427</xdr:rowOff>
    </xdr:from>
    <xdr:to>
      <xdr:col>27</xdr:col>
      <xdr:colOff>22753</xdr:colOff>
      <xdr:row>693</xdr:row>
      <xdr:rowOff>2725</xdr:rowOff>
    </xdr:to>
    <xdr:grpSp>
      <xdr:nvGrpSpPr>
        <xdr:cNvPr id="18" name="Group 17">
          <a:extLst>
            <a:ext uri="{FF2B5EF4-FFF2-40B4-BE49-F238E27FC236}">
              <a16:creationId xmlns:a16="http://schemas.microsoft.com/office/drawing/2014/main" id="{00000000-0008-0000-0100-000012000000}"/>
            </a:ext>
          </a:extLst>
        </xdr:cNvPr>
        <xdr:cNvGrpSpPr/>
      </xdr:nvGrpSpPr>
      <xdr:grpSpPr>
        <a:xfrm>
          <a:off x="6263640" y="162013947"/>
          <a:ext cx="0" cy="3266578"/>
          <a:chOff x="6392386" y="162716830"/>
          <a:chExt cx="5979249" cy="3289887"/>
        </a:xfrm>
      </xdr:grpSpPr>
      <xdr:pic>
        <xdr:nvPicPr>
          <xdr:cNvPr id="425" name="Picture 424">
            <a:extLst>
              <a:ext uri="{FF2B5EF4-FFF2-40B4-BE49-F238E27FC236}">
                <a16:creationId xmlns:a16="http://schemas.microsoft.com/office/drawing/2014/main" id="{00000000-0008-0000-0100-0000A901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6397052" y="163855054"/>
            <a:ext cx="1000502" cy="1013017"/>
          </a:xfrm>
          <a:prstGeom prst="rect">
            <a:avLst/>
          </a:prstGeom>
        </xdr:spPr>
      </xdr:pic>
      <xdr:pic>
        <xdr:nvPicPr>
          <xdr:cNvPr id="426" name="Picture 425">
            <a:extLst>
              <a:ext uri="{FF2B5EF4-FFF2-40B4-BE49-F238E27FC236}">
                <a16:creationId xmlns:a16="http://schemas.microsoft.com/office/drawing/2014/main" id="{00000000-0008-0000-0100-0000AA01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6394666" y="162716830"/>
            <a:ext cx="1000502" cy="1013017"/>
          </a:xfrm>
          <a:prstGeom prst="rect">
            <a:avLst/>
          </a:prstGeom>
        </xdr:spPr>
      </xdr:pic>
      <xdr:pic>
        <xdr:nvPicPr>
          <xdr:cNvPr id="427" name="Picture 426">
            <a:extLst>
              <a:ext uri="{FF2B5EF4-FFF2-40B4-BE49-F238E27FC236}">
                <a16:creationId xmlns:a16="http://schemas.microsoft.com/office/drawing/2014/main" id="{00000000-0008-0000-0100-0000AB01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6392386" y="164993700"/>
            <a:ext cx="1000502" cy="1013017"/>
          </a:xfrm>
          <a:prstGeom prst="rect">
            <a:avLst/>
          </a:prstGeom>
        </xdr:spPr>
      </xdr:pic>
      <xdr:pic>
        <xdr:nvPicPr>
          <xdr:cNvPr id="428" name="Picture 427">
            <a:extLst>
              <a:ext uri="{FF2B5EF4-FFF2-40B4-BE49-F238E27FC236}">
                <a16:creationId xmlns:a16="http://schemas.microsoft.com/office/drawing/2014/main" id="{00000000-0008-0000-0100-0000AC01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398978" y="163855477"/>
            <a:ext cx="1000502" cy="1013017"/>
          </a:xfrm>
          <a:prstGeom prst="rect">
            <a:avLst/>
          </a:prstGeom>
        </xdr:spPr>
      </xdr:pic>
      <xdr:pic>
        <xdr:nvPicPr>
          <xdr:cNvPr id="429" name="Picture 428">
            <a:extLst>
              <a:ext uri="{FF2B5EF4-FFF2-40B4-BE49-F238E27FC236}">
                <a16:creationId xmlns:a16="http://schemas.microsoft.com/office/drawing/2014/main" id="{00000000-0008-0000-0100-0000AD01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9396591" y="164988866"/>
            <a:ext cx="1000502" cy="1013017"/>
          </a:xfrm>
          <a:prstGeom prst="rect">
            <a:avLst/>
          </a:prstGeom>
        </xdr:spPr>
      </xdr:pic>
      <xdr:pic>
        <xdr:nvPicPr>
          <xdr:cNvPr id="430" name="Picture 429">
            <a:extLst>
              <a:ext uri="{FF2B5EF4-FFF2-40B4-BE49-F238E27FC236}">
                <a16:creationId xmlns:a16="http://schemas.microsoft.com/office/drawing/2014/main" id="{00000000-0008-0000-0100-0000AE01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9398559" y="162719247"/>
            <a:ext cx="1000502" cy="1013017"/>
          </a:xfrm>
          <a:prstGeom prst="rect">
            <a:avLst/>
          </a:prstGeom>
        </xdr:spPr>
      </xdr:pic>
      <xdr:sp macro="" textlink="">
        <xdr:nvSpPr>
          <xdr:cNvPr id="431" name="TextBox 430">
            <a:extLst>
              <a:ext uri="{FF2B5EF4-FFF2-40B4-BE49-F238E27FC236}">
                <a16:creationId xmlns:a16="http://schemas.microsoft.com/office/drawing/2014/main" id="{00000000-0008-0000-0100-0000AF010000}"/>
              </a:ext>
            </a:extLst>
          </xdr:cNvPr>
          <xdr:cNvSpPr txBox="1"/>
        </xdr:nvSpPr>
        <xdr:spPr>
          <a:xfrm>
            <a:off x="7405352" y="165013883"/>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Exaction Invoice</a:t>
            </a:r>
          </a:p>
          <a:p>
            <a:r>
              <a:rPr lang="en-US" sz="1000" baseline="0">
                <a:solidFill>
                  <a:schemeClr val="dk1"/>
                </a:solidFill>
                <a:latin typeface="Cambria" panose="02040503050406030204" pitchFamily="18" charset="0"/>
                <a:ea typeface="Cambria" panose="02040503050406030204" pitchFamily="18" charset="0"/>
                <a:cs typeface="+mn-cs"/>
              </a:rPr>
              <a:t>Identify and report hidden costs of  coerced compliance. Put a price on power's negative influence on you. Hold power accountable.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2" name="TextBox 431">
            <a:extLst>
              <a:ext uri="{FF2B5EF4-FFF2-40B4-BE49-F238E27FC236}">
                <a16:creationId xmlns:a16="http://schemas.microsoft.com/office/drawing/2014/main" id="{00000000-0008-0000-0100-0000B0010000}"/>
              </a:ext>
            </a:extLst>
          </xdr:cNvPr>
          <xdr:cNvSpPr txBox="1"/>
        </xdr:nvSpPr>
        <xdr:spPr>
          <a:xfrm>
            <a:off x="7405352" y="162765237"/>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Harmony Politics</a:t>
            </a:r>
          </a:p>
          <a:p>
            <a:r>
              <a:rPr lang="en-US" sz="1000" baseline="0">
                <a:solidFill>
                  <a:schemeClr val="dk1"/>
                </a:solidFill>
                <a:latin typeface="Cambria" panose="02040503050406030204" pitchFamily="18" charset="0"/>
                <a:ea typeface="Cambria" panose="02040503050406030204" pitchFamily="18" charset="0"/>
                <a:cs typeface="+mn-cs"/>
              </a:rPr>
              <a:t>Link your political outlook to your psychosocial and other publicly affected needs. Empathize fully with both politcal sides.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3" name="TextBox 432">
            <a:extLst>
              <a:ext uri="{FF2B5EF4-FFF2-40B4-BE49-F238E27FC236}">
                <a16:creationId xmlns:a16="http://schemas.microsoft.com/office/drawing/2014/main" id="{00000000-0008-0000-0100-0000B1010000}"/>
              </a:ext>
            </a:extLst>
          </xdr:cNvPr>
          <xdr:cNvSpPr txBox="1"/>
        </xdr:nvSpPr>
        <xdr:spPr>
          <a:xfrm>
            <a:off x="10408528" y="162720414"/>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Grow Resilience</a:t>
            </a:r>
          </a:p>
          <a:p>
            <a:r>
              <a:rPr lang="en-US" sz="1000" baseline="0">
                <a:solidFill>
                  <a:schemeClr val="dk1"/>
                </a:solidFill>
                <a:latin typeface="Cambria" panose="02040503050406030204" pitchFamily="18" charset="0"/>
                <a:ea typeface="Cambria" panose="02040503050406030204" pitchFamily="18" charset="0"/>
                <a:cs typeface="+mn-cs"/>
              </a:rPr>
              <a:t>Expand your comfort zone. Help your client grow out of their stifling comfort zone. Resolve more needs. Reach more potential.</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4" name="TextBox 433">
            <a:extLst>
              <a:ext uri="{FF2B5EF4-FFF2-40B4-BE49-F238E27FC236}">
                <a16:creationId xmlns:a16="http://schemas.microsoft.com/office/drawing/2014/main" id="{00000000-0008-0000-0100-0000B2010000}"/>
              </a:ext>
            </a:extLst>
          </xdr:cNvPr>
          <xdr:cNvSpPr txBox="1"/>
        </xdr:nvSpPr>
        <xdr:spPr>
          <a:xfrm>
            <a:off x="10408528"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Legitimacy Audit</a:t>
            </a:r>
          </a:p>
          <a:p>
            <a:r>
              <a:rPr lang="en-US" sz="1000" baseline="0">
                <a:solidFill>
                  <a:schemeClr val="dk1"/>
                </a:solidFill>
                <a:latin typeface="Cambria" panose="02040503050406030204" pitchFamily="18" charset="0"/>
                <a:ea typeface="Cambria" panose="02040503050406030204" pitchFamily="18" charset="0"/>
                <a:cs typeface="+mn-cs"/>
              </a:rPr>
              <a:t>Check various authority's level of responsiveness to entrusted needs. Link that gaged responsiveness to how willingly involved in your life.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5" name="TextBox 434">
            <a:extLst>
              <a:ext uri="{FF2B5EF4-FFF2-40B4-BE49-F238E27FC236}">
                <a16:creationId xmlns:a16="http://schemas.microsoft.com/office/drawing/2014/main" id="{00000000-0008-0000-0100-0000B3010000}"/>
              </a:ext>
            </a:extLst>
          </xdr:cNvPr>
          <xdr:cNvSpPr txBox="1"/>
        </xdr:nvSpPr>
        <xdr:spPr>
          <a:xfrm>
            <a:off x="7405351"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Four Seasons</a:t>
            </a:r>
          </a:p>
          <a:p>
            <a:r>
              <a:rPr lang="en-US" sz="1000" baseline="0">
                <a:solidFill>
                  <a:schemeClr val="dk1"/>
                </a:solidFill>
                <a:latin typeface="Cambria" panose="02040503050406030204" pitchFamily="18" charset="0"/>
                <a:ea typeface="Cambria" panose="02040503050406030204" pitchFamily="18" charset="0"/>
                <a:cs typeface="+mn-cs"/>
              </a:rPr>
              <a:t>Enter your birthdate and see your life's seasonal patterns. See how your affected psychosocial needs shapes your political outtlook.</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6" name="TextBox 435">
            <a:extLst>
              <a:ext uri="{FF2B5EF4-FFF2-40B4-BE49-F238E27FC236}">
                <a16:creationId xmlns:a16="http://schemas.microsoft.com/office/drawing/2014/main" id="{00000000-0008-0000-0100-0000B4010000}"/>
              </a:ext>
            </a:extLst>
          </xdr:cNvPr>
          <xdr:cNvSpPr txBox="1"/>
        </xdr:nvSpPr>
        <xdr:spPr>
          <a:xfrm>
            <a:off x="10408528" y="16500641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Liberty Avowal</a:t>
            </a:r>
          </a:p>
          <a:p>
            <a:r>
              <a:rPr lang="en-US" sz="1000" baseline="0">
                <a:solidFill>
                  <a:schemeClr val="dk1"/>
                </a:solidFill>
                <a:latin typeface="Cambria" panose="02040503050406030204" pitchFamily="18" charset="0"/>
                <a:ea typeface="Cambria" panose="02040503050406030204" pitchFamily="18" charset="0"/>
                <a:cs typeface="+mn-cs"/>
              </a:rPr>
              <a:t>Declare your liberty resolve needs. Replace alienation of impersonal norms with a loving passion to resolve each other's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515" name="TextBox 514">
            <a:extLst>
              <a:ext uri="{FF2B5EF4-FFF2-40B4-BE49-F238E27FC236}">
                <a16:creationId xmlns:a16="http://schemas.microsoft.com/office/drawing/2014/main" id="{00000000-0008-0000-0100-000003020000}"/>
              </a:ext>
            </a:extLst>
          </xdr:cNvPr>
          <xdr:cNvSpPr txBox="1"/>
        </xdr:nvSpPr>
        <xdr:spPr>
          <a:xfrm>
            <a:off x="10400944" y="16273576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Innocence Validity</a:t>
            </a:r>
          </a:p>
          <a:p>
            <a:r>
              <a:rPr lang="en-US" sz="1000" baseline="0">
                <a:solidFill>
                  <a:schemeClr val="dk1"/>
                </a:solidFill>
                <a:latin typeface="Cambria" panose="02040503050406030204" pitchFamily="18" charset="0"/>
                <a:ea typeface="Cambria" panose="02040503050406030204" pitchFamily="18" charset="0"/>
                <a:cs typeface="+mn-cs"/>
              </a:rPr>
              <a:t>For the countless wrongly convicted who are not yet exonerated. Enter case details, and share its calculated estimate of innocence with others.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grpSp>
    <xdr:clientData/>
  </xdr:twoCellAnchor>
  <xdr:twoCellAnchor>
    <xdr:from>
      <xdr:col>15</xdr:col>
      <xdr:colOff>30729</xdr:colOff>
      <xdr:row>703</xdr:row>
      <xdr:rowOff>259130</xdr:rowOff>
    </xdr:from>
    <xdr:to>
      <xdr:col>26</xdr:col>
      <xdr:colOff>177203</xdr:colOff>
      <xdr:row>705</xdr:row>
      <xdr:rowOff>83373</xdr:rowOff>
    </xdr:to>
    <xdr:sp macro="" textlink="">
      <xdr:nvSpPr>
        <xdr:cNvPr id="1379" name="TextBox 1378">
          <a:extLst>
            <a:ext uri="{FF2B5EF4-FFF2-40B4-BE49-F238E27FC236}">
              <a16:creationId xmlns:a16="http://schemas.microsoft.com/office/drawing/2014/main" id="{00000000-0008-0000-0100-000063050000}"/>
            </a:ext>
          </a:extLst>
        </xdr:cNvPr>
        <xdr:cNvSpPr txBox="1"/>
      </xdr:nvSpPr>
      <xdr:spPr>
        <a:xfrm>
          <a:off x="6373258" y="168115777"/>
          <a:ext cx="5652298" cy="586243"/>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Duncan,</a:t>
          </a:r>
          <a:r>
            <a:rPr lang="en-US" sz="800" b="1" baseline="0"/>
            <a:t> B</a:t>
          </a:r>
          <a:r>
            <a:rPr lang="en-US" sz="800" b="1"/>
            <a:t>., et</a:t>
          </a:r>
          <a:r>
            <a:rPr lang="en-US" sz="800" b="1" baseline="0"/>
            <a:t> al.</a:t>
          </a:r>
          <a:r>
            <a:rPr lang="en-US" sz="800" b="1"/>
            <a:t> (</a:t>
          </a:r>
          <a:r>
            <a:rPr lang="en-US" sz="800" b="1">
              <a:solidFill>
                <a:schemeClr val="dk1"/>
              </a:solidFill>
              <a:latin typeface="+mn-lt"/>
              <a:ea typeface="+mn-ea"/>
              <a:cs typeface="+mn-cs"/>
            </a:rPr>
            <a:t>2003). Culture Wars, COVID-19 and The Session Rating Scale: Preliminary Psychometric Properties of a “Working” Alliance Measure. </a:t>
          </a:r>
          <a:r>
            <a:rPr lang="en-US" sz="800" b="1" i="1">
              <a:solidFill>
                <a:schemeClr val="dk1"/>
              </a:solidFill>
              <a:latin typeface="+mn-lt"/>
              <a:ea typeface="+mn-ea"/>
              <a:cs typeface="+mn-cs"/>
            </a:rPr>
            <a:t>The Journal of Brief </a:t>
          </a:r>
          <a:r>
            <a:rPr lang="en-US" sz="800" b="1" i="1" baseline="0">
              <a:solidFill>
                <a:schemeClr val="dk1"/>
              </a:solidFill>
              <a:latin typeface="+mn-lt"/>
              <a:ea typeface="+mn-ea"/>
              <a:cs typeface="+mn-cs"/>
            </a:rPr>
            <a:t>Therapy, 3</a:t>
          </a:r>
          <a:r>
            <a:rPr lang="en-US" sz="800" b="1" baseline="0">
              <a:solidFill>
                <a:schemeClr val="dk1"/>
              </a:solidFill>
              <a:latin typeface="+mn-lt"/>
              <a:ea typeface="+mn-ea"/>
              <a:cs typeface="+mn-cs"/>
            </a:rPr>
            <a:t>: 1.</a:t>
          </a:r>
          <a:r>
            <a:rPr lang="en-US" sz="800" b="1">
              <a:solidFill>
                <a:schemeClr val="dk1"/>
              </a:solidFill>
              <a:latin typeface="+mn-lt"/>
              <a:ea typeface="+mn-ea"/>
              <a:cs typeface="+mn-cs"/>
            </a:rPr>
            <a:t> </a:t>
          </a:r>
          <a:r>
            <a:rPr lang="en-US" sz="800" b="1"/>
            <a:t>https://scottdmiller.com/wp-content/uploads/documents/SessionRatingScale-JBTv3n1.pdf. Accessed November 8, 2020.</a:t>
          </a:r>
        </a:p>
      </xdr:txBody>
    </xdr:sp>
    <xdr:clientData/>
  </xdr:twoCellAnchor>
  <xdr:twoCellAnchor>
    <xdr:from>
      <xdr:col>1</xdr:col>
      <xdr:colOff>11071</xdr:colOff>
      <xdr:row>706</xdr:row>
      <xdr:rowOff>13593</xdr:rowOff>
    </xdr:from>
    <xdr:to>
      <xdr:col>13</xdr:col>
      <xdr:colOff>12326</xdr:colOff>
      <xdr:row>709</xdr:row>
      <xdr:rowOff>113101</xdr:rowOff>
    </xdr:to>
    <xdr:sp macro="" textlink="">
      <xdr:nvSpPr>
        <xdr:cNvPr id="100" name="TextBox 99">
          <a:hlinkClick xmlns:r="http://schemas.openxmlformats.org/officeDocument/2006/relationships" r:id="rId37" tooltip="go to Value Relating website"/>
          <a:extLst>
            <a:ext uri="{FF2B5EF4-FFF2-40B4-BE49-F238E27FC236}">
              <a16:creationId xmlns:a16="http://schemas.microsoft.com/office/drawing/2014/main" id="{00000000-0008-0000-0100-000064000000}"/>
            </a:ext>
          </a:extLst>
        </xdr:cNvPr>
        <xdr:cNvSpPr txBox="1"/>
      </xdr:nvSpPr>
      <xdr:spPr>
        <a:xfrm>
          <a:off x="125371" y="168758493"/>
          <a:ext cx="6036295" cy="510988"/>
        </a:xfrm>
        <a:prstGeom prst="rect">
          <a:avLst/>
        </a:prstGeom>
        <a:gradFill flip="none" rotWithShape="1">
          <a:gsLst>
            <a:gs pos="35000">
              <a:srgbClr val="E1FFEB"/>
            </a:gs>
            <a:gs pos="0">
              <a:srgbClr val="E1FFEB"/>
            </a:gs>
            <a:gs pos="75000">
              <a:srgbClr val="64FFA5">
                <a:shade val="67500"/>
                <a:satMod val="115000"/>
              </a:srgbClr>
            </a:gs>
            <a:gs pos="100000">
              <a:srgbClr val="64FFA5">
                <a:shade val="100000"/>
                <a:satMod val="115000"/>
              </a:srgbClr>
            </a:gs>
          </a:gsLst>
          <a:path path="circle">
            <a:fillToRect l="50000" t="50000" r="50000" b="50000"/>
          </a:path>
          <a:tileRect/>
        </a:gradFill>
        <a:ln w="12700" cmpd="sng">
          <a:solidFill>
            <a:srgbClr val="A0FFCD"/>
          </a:solidFill>
        </a:ln>
        <a:effectLst>
          <a:glow rad="25400">
            <a:srgbClr val="E1FFEB"/>
          </a:glow>
        </a:effectLst>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ctr"/>
        <a:lstStyle/>
        <a:p>
          <a:pPr algn="ctr"/>
          <a:r>
            <a:rPr lang="en-US" sz="2000" b="1">
              <a:ln>
                <a:solidFill>
                  <a:srgbClr val="004623"/>
                </a:solidFill>
              </a:ln>
              <a:solidFill>
                <a:srgbClr val="00C864"/>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Value</a:t>
          </a:r>
          <a:r>
            <a:rPr lang="en-US" sz="2000" b="1">
              <a:solidFill>
                <a:srgbClr val="2D143C"/>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 </a:t>
          </a:r>
          <a:r>
            <a:rPr lang="en-US" sz="2000" b="1">
              <a:ln>
                <a:solidFill>
                  <a:srgbClr val="2D143C"/>
                </a:solidFill>
              </a:ln>
              <a:solidFill>
                <a:srgbClr val="7030A0"/>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Relating</a:t>
          </a:r>
        </a:p>
        <a:p>
          <a:pPr algn="ctr"/>
          <a:r>
            <a:rPr lang="en-US" sz="100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solving problems by resolving</a:t>
          </a:r>
          <a:r>
            <a:rPr lang="en-US" sz="1000" b="1" spc="-20" baseline="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 needs</a:t>
          </a:r>
          <a:endParaRPr lang="en-US" sz="105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endParaRPr>
        </a:p>
      </xdr:txBody>
    </xdr:sp>
    <xdr:clientData/>
  </xdr:twoCellAnchor>
  <xdr:twoCellAnchor>
    <xdr:from>
      <xdr:col>15</xdr:col>
      <xdr:colOff>59763</xdr:colOff>
      <xdr:row>573</xdr:row>
      <xdr:rowOff>59316</xdr:rowOff>
    </xdr:from>
    <xdr:to>
      <xdr:col>26</xdr:col>
      <xdr:colOff>497539</xdr:colOff>
      <xdr:row>592</xdr:row>
      <xdr:rowOff>104587</xdr:rowOff>
    </xdr:to>
    <xdr:sp macro="" textlink="">
      <xdr:nvSpPr>
        <xdr:cNvPr id="373" name="TextBox 372">
          <a:extLst>
            <a:ext uri="{FF2B5EF4-FFF2-40B4-BE49-F238E27FC236}">
              <a16:creationId xmlns:a16="http://schemas.microsoft.com/office/drawing/2014/main" id="{00000000-0008-0000-0100-000075010000}"/>
            </a:ext>
          </a:extLst>
        </xdr:cNvPr>
        <xdr:cNvSpPr txBox="1"/>
      </xdr:nvSpPr>
      <xdr:spPr>
        <a:xfrm>
          <a:off x="6402292" y="136957845"/>
          <a:ext cx="5943600" cy="415409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200">
              <a:solidFill>
                <a:schemeClr val="dk1"/>
              </a:solidFill>
              <a:effectLst/>
              <a:latin typeface="Cambria" panose="02040503050406030204" pitchFamily="18" charset="0"/>
              <a:ea typeface="Cambria" panose="02040503050406030204" pitchFamily="18" charset="0"/>
              <a:cs typeface="+mn-cs"/>
            </a:rPr>
            <a:t>If you have lost clients in the past over political</a:t>
          </a:r>
          <a:r>
            <a:rPr lang="en-US" sz="1200" baseline="0">
              <a:solidFill>
                <a:schemeClr val="dk1"/>
              </a:solidFill>
              <a:effectLst/>
              <a:latin typeface="Cambria" panose="02040503050406030204" pitchFamily="18" charset="0"/>
              <a:ea typeface="Cambria" panose="02040503050406030204" pitchFamily="18" charset="0"/>
              <a:cs typeface="+mn-cs"/>
            </a:rPr>
            <a:t> differences, you can now reach out to them and tell them you have learned from your mistakes. Or you can start branding yourself to new clients as a counselor who embraces all regardless of ideology. Well, as long as the client's political expression does not immediately threaten you.</a:t>
          </a:r>
        </a:p>
        <a:p>
          <a:endParaRPr lang="en-US" sz="1200" baseline="0">
            <a:solidFill>
              <a:schemeClr val="dk1"/>
            </a:solidFill>
            <a:effectLst/>
            <a:latin typeface="Cambria" panose="02040503050406030204" pitchFamily="18" charset="0"/>
            <a:ea typeface="Cambria" panose="02040503050406030204" pitchFamily="18" charset="0"/>
            <a:cs typeface="+mn-cs"/>
          </a:endParaRPr>
        </a:p>
        <a:p>
          <a:r>
            <a:rPr lang="en-US" sz="1200" baseline="0">
              <a:solidFill>
                <a:schemeClr val="dk1"/>
              </a:solidFill>
              <a:effectLst/>
              <a:latin typeface="Cambria" panose="02040503050406030204" pitchFamily="18" charset="0"/>
              <a:ea typeface="Cambria" panose="02040503050406030204" pitchFamily="18" charset="0"/>
              <a:cs typeface="+mn-cs"/>
            </a:rPr>
            <a:t>You need not step onto this path alone. </a:t>
          </a:r>
          <a:r>
            <a:rPr lang="en-US" sz="1200">
              <a:solidFill>
                <a:schemeClr val="dk1"/>
              </a:solidFill>
              <a:latin typeface="Cambria" panose="02040503050406030204" pitchFamily="18" charset="0"/>
              <a:ea typeface="Cambria" panose="02040503050406030204" pitchFamily="18" charset="0"/>
              <a:cs typeface="+mn-cs"/>
            </a:rPr>
            <a:t>I</a:t>
          </a:r>
          <a:r>
            <a:rPr lang="en-US" sz="1200" baseline="0">
              <a:solidFill>
                <a:schemeClr val="dk1"/>
              </a:solidFill>
              <a:latin typeface="Cambria" panose="02040503050406030204" pitchFamily="18" charset="0"/>
              <a:ea typeface="Cambria" panose="02040503050406030204" pitchFamily="18" charset="0"/>
              <a:cs typeface="+mn-cs"/>
            </a:rPr>
            <a:t> can coach you to build up your brand as one who builds bridges between opposing political sides. Or simply consult with me on how to apply this to your practice. If you can afford FREE, then you can afford me. I am not charging anything upfront, as I too am building up my brand.</a:t>
          </a: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You can</a:t>
          </a:r>
          <a:r>
            <a:rPr lang="en-US" sz="1200" baseline="0">
              <a:solidFill>
                <a:schemeClr val="dk1"/>
              </a:solidFill>
              <a:latin typeface="Cambria" panose="02040503050406030204" pitchFamily="18" charset="0"/>
              <a:ea typeface="Cambria" panose="02040503050406030204" pitchFamily="18" charset="0"/>
              <a:cs typeface="+mn-cs"/>
            </a:rPr>
            <a:t> invite me to join a special session with your client, if necessary. W</a:t>
          </a:r>
          <a:r>
            <a:rPr lang="en-US" sz="1200">
              <a:solidFill>
                <a:schemeClr val="dk1"/>
              </a:solidFill>
              <a:latin typeface="Cambria" panose="02040503050406030204" pitchFamily="18" charset="0"/>
              <a:ea typeface="Cambria" panose="02040503050406030204" pitchFamily="18" charset="0"/>
              <a:cs typeface="+mn-cs"/>
            </a:rPr>
            <a:t>ith your client's informed decision,</a:t>
          </a:r>
          <a:r>
            <a:rPr lang="en-US" sz="1200" baseline="0">
              <a:solidFill>
                <a:schemeClr val="dk1"/>
              </a:solidFill>
              <a:latin typeface="Cambria" panose="02040503050406030204" pitchFamily="18" charset="0"/>
              <a:ea typeface="Cambria" panose="02040503050406030204" pitchFamily="18" charset="0"/>
              <a:cs typeface="+mn-cs"/>
            </a:rPr>
            <a:t> and their every HIPAA right and other concern covered in an agreeable </a:t>
          </a:r>
          <a:r>
            <a:rPr lang="en-US" sz="1200" i="1" baseline="0">
              <a:solidFill>
                <a:schemeClr val="dk1"/>
              </a:solidFill>
              <a:latin typeface="Cambria" panose="02040503050406030204" pitchFamily="18" charset="0"/>
              <a:ea typeface="Cambria" panose="02040503050406030204" pitchFamily="18" charset="0"/>
              <a:cs typeface="+mn-cs"/>
            </a:rPr>
            <a:t>business associate contract</a:t>
          </a:r>
          <a:r>
            <a:rPr lang="en-US" sz="1200" i="0" baseline="0">
              <a:solidFill>
                <a:schemeClr val="dk1"/>
              </a:solidFill>
              <a:latin typeface="Cambria" panose="02040503050406030204" pitchFamily="18" charset="0"/>
              <a:ea typeface="Cambria" panose="02040503050406030204" pitchFamily="18" charset="0"/>
              <a:cs typeface="+mn-cs"/>
            </a:rPr>
            <a:t>, I can introduce you and your client to psychosociotherapy. It shifts any stigma from the client courageously seeking improvement to those negatively impacting the client, who have yet to show such courageous improvement.</a:t>
          </a:r>
        </a:p>
        <a:p>
          <a:endParaRPr lang="en-US" sz="1200" i="0" baseline="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Counselors</a:t>
          </a:r>
          <a:r>
            <a:rPr lang="en-US" sz="1200" baseline="0">
              <a:solidFill>
                <a:schemeClr val="dk1"/>
              </a:solidFill>
              <a:latin typeface="Cambria" panose="02040503050406030204" pitchFamily="18" charset="0"/>
              <a:ea typeface="Cambria" panose="02040503050406030204" pitchFamily="18" charset="0"/>
              <a:cs typeface="+mn-cs"/>
            </a:rPr>
            <a:t> are known to be wounded warriors, who professionally help others in ways they once needed such help. You have opportunity to help your clients heal up their political battle scars. With these </a:t>
          </a:r>
          <a:r>
            <a:rPr lang="en-US" sz="1200" i="1" baseline="0">
              <a:solidFill>
                <a:schemeClr val="dk1"/>
              </a:solidFill>
              <a:latin typeface="Cambria" panose="02040503050406030204" pitchFamily="18" charset="0"/>
              <a:ea typeface="Cambria" panose="02040503050406030204" pitchFamily="18" charset="0"/>
              <a:cs typeface="+mn-cs"/>
            </a:rPr>
            <a:t>anankelogical</a:t>
          </a:r>
          <a:r>
            <a:rPr lang="en-US" sz="1200" baseline="0">
              <a:solidFill>
                <a:schemeClr val="dk1"/>
              </a:solidFill>
              <a:latin typeface="Cambria" panose="02040503050406030204" pitchFamily="18" charset="0"/>
              <a:ea typeface="Cambria" panose="02040503050406030204" pitchFamily="18" charset="0"/>
              <a:cs typeface="+mn-cs"/>
            </a:rPr>
            <a:t> tools for resolving needs, you help your client make the leap from seeking help to being in a qualified position to passionately help others. Along the way, you brand yourself to a helper who more than help others recover but to also thrive. Ask me what else psychosociotherapy can do for your practice.</a:t>
          </a:r>
          <a:endParaRPr lang="en-US" sz="120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xdr:col>
      <xdr:colOff>15241</xdr:colOff>
      <xdr:row>260</xdr:row>
      <xdr:rowOff>22412</xdr:rowOff>
    </xdr:from>
    <xdr:to>
      <xdr:col>13</xdr:col>
      <xdr:colOff>3912</xdr:colOff>
      <xdr:row>267</xdr:row>
      <xdr:rowOff>73212</xdr:rowOff>
    </xdr:to>
    <xdr:grpSp>
      <xdr:nvGrpSpPr>
        <xdr:cNvPr id="14" name="Group 13">
          <a:extLst>
            <a:ext uri="{FF2B5EF4-FFF2-40B4-BE49-F238E27FC236}">
              <a16:creationId xmlns:a16="http://schemas.microsoft.com/office/drawing/2014/main" id="{00000000-0008-0000-0100-00000E000000}"/>
            </a:ext>
          </a:extLst>
        </xdr:cNvPr>
        <xdr:cNvGrpSpPr/>
      </xdr:nvGrpSpPr>
      <xdr:grpSpPr>
        <a:xfrm>
          <a:off x="129541" y="64297112"/>
          <a:ext cx="6023711" cy="1811020"/>
          <a:chOff x="127300" y="64411412"/>
          <a:chExt cx="5995024" cy="1828800"/>
        </a:xfrm>
      </xdr:grpSpPr>
      <xdr:pic>
        <xdr:nvPicPr>
          <xdr:cNvPr id="409" name="Picture 408">
            <a:extLst>
              <a:ext uri="{FF2B5EF4-FFF2-40B4-BE49-F238E27FC236}">
                <a16:creationId xmlns:a16="http://schemas.microsoft.com/office/drawing/2014/main" id="{00000000-0008-0000-0100-000099010000}"/>
              </a:ext>
            </a:extLst>
          </xdr:cNvPr>
          <xdr:cNvPicPr>
            <a:picLocks noChangeAspect="1"/>
          </xdr:cNvPicPr>
        </xdr:nvPicPr>
        <xdr:blipFill>
          <a:blip xmlns:r="http://schemas.openxmlformats.org/officeDocument/2006/relationships" r:embed="rId38"/>
          <a:stretch>
            <a:fillRect/>
          </a:stretch>
        </xdr:blipFill>
        <xdr:spPr>
          <a:xfrm>
            <a:off x="2226235" y="64411412"/>
            <a:ext cx="1822032" cy="1828800"/>
          </a:xfrm>
          <a:prstGeom prst="rect">
            <a:avLst/>
          </a:prstGeom>
        </xdr:spPr>
      </xdr:pic>
      <xdr:pic>
        <xdr:nvPicPr>
          <xdr:cNvPr id="533" name="Picture 532">
            <a:extLst>
              <a:ext uri="{FF2B5EF4-FFF2-40B4-BE49-F238E27FC236}">
                <a16:creationId xmlns:a16="http://schemas.microsoft.com/office/drawing/2014/main" id="{00000000-0008-0000-0100-00001502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27300" y="64496279"/>
            <a:ext cx="2133104" cy="1600200"/>
          </a:xfrm>
          <a:prstGeom prst="rect">
            <a:avLst/>
          </a:prstGeom>
        </xdr:spPr>
      </xdr:pic>
      <xdr:pic>
        <xdr:nvPicPr>
          <xdr:cNvPr id="534" name="Picture 533">
            <a:extLst>
              <a:ext uri="{FF2B5EF4-FFF2-40B4-BE49-F238E27FC236}">
                <a16:creationId xmlns:a16="http://schemas.microsoft.com/office/drawing/2014/main" id="{00000000-0008-0000-0100-00001602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989220" y="64496279"/>
            <a:ext cx="2133104" cy="1600200"/>
          </a:xfrm>
          <a:prstGeom prst="rect">
            <a:avLst/>
          </a:prstGeom>
        </xdr:spPr>
      </xdr:pic>
    </xdr:grpSp>
    <xdr:clientData/>
  </xdr:twoCellAnchor>
  <xdr:twoCellAnchor>
    <xdr:from>
      <xdr:col>6</xdr:col>
      <xdr:colOff>449613</xdr:colOff>
      <xdr:row>624</xdr:row>
      <xdr:rowOff>171824</xdr:rowOff>
    </xdr:from>
    <xdr:to>
      <xdr:col>13</xdr:col>
      <xdr:colOff>53671</xdr:colOff>
      <xdr:row>633</xdr:row>
      <xdr:rowOff>161071</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3078513" y="148685624"/>
          <a:ext cx="3124498" cy="2420027"/>
          <a:chOff x="3064319" y="149381883"/>
          <a:chExt cx="3107764" cy="2462012"/>
        </a:xfrm>
      </xdr:grpSpPr>
      <xdr:sp macro="" textlink="">
        <xdr:nvSpPr>
          <xdr:cNvPr id="1315" name="Rectangle 1314">
            <a:extLst>
              <a:ext uri="{FF2B5EF4-FFF2-40B4-BE49-F238E27FC236}">
                <a16:creationId xmlns:a16="http://schemas.microsoft.com/office/drawing/2014/main" id="{00000000-0008-0000-0100-000023050000}"/>
              </a:ext>
            </a:extLst>
          </xdr:cNvPr>
          <xdr:cNvSpPr/>
        </xdr:nvSpPr>
        <xdr:spPr>
          <a:xfrm>
            <a:off x="3400617" y="151318109"/>
            <a:ext cx="1003480" cy="525785"/>
          </a:xfrm>
          <a:prstGeom prst="rect">
            <a:avLst/>
          </a:prstGeom>
          <a:noFill/>
        </xdr:spPr>
        <xdr:txBody>
          <a:bodyPr wrap="none" lIns="91440" tIns="45720" rIns="91440" bIns="45720">
            <a:spAutoFit/>
          </a:bodyPr>
          <a:lstStyle/>
          <a:p>
            <a:pPr algn="l"/>
            <a:r>
              <a:rPr lang="en-US" sz="28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LTTI</a:t>
            </a:r>
            <a:endParaRPr lang="en-US" sz="20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12" name="Picture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41"/>
          <a:stretch>
            <a:fillRect/>
          </a:stretch>
        </xdr:blipFill>
        <xdr:spPr>
          <a:xfrm>
            <a:off x="3064319" y="149381883"/>
            <a:ext cx="3107764" cy="1942352"/>
          </a:xfrm>
          <a:prstGeom prst="rect">
            <a:avLst/>
          </a:prstGeom>
        </xdr:spPr>
      </xdr:pic>
      <xdr:sp macro="" textlink="">
        <xdr:nvSpPr>
          <xdr:cNvPr id="415" name="Rectangle 414">
            <a:extLst>
              <a:ext uri="{FF2B5EF4-FFF2-40B4-BE49-F238E27FC236}">
                <a16:creationId xmlns:a16="http://schemas.microsoft.com/office/drawing/2014/main" id="{00000000-0008-0000-0100-00009F010000}"/>
              </a:ext>
            </a:extLst>
          </xdr:cNvPr>
          <xdr:cNvSpPr/>
        </xdr:nvSpPr>
        <xdr:spPr>
          <a:xfrm>
            <a:off x="5006789" y="151318110"/>
            <a:ext cx="1087734" cy="525785"/>
          </a:xfrm>
          <a:prstGeom prst="rect">
            <a:avLst/>
          </a:prstGeom>
          <a:noFill/>
        </xdr:spPr>
        <xdr:txBody>
          <a:bodyPr wrap="none" lIns="91440" tIns="45720" rIns="91440" bIns="45720">
            <a:spAutoFit/>
          </a:bodyPr>
          <a:lstStyle/>
          <a:p>
            <a:pPr algn="l"/>
            <a:r>
              <a:rPr lang="en-US" sz="28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STTP</a:t>
            </a:r>
            <a:endParaRPr lang="en-US" sz="20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98014</xdr:colOff>
      <xdr:row>657</xdr:row>
      <xdr:rowOff>138506</xdr:rowOff>
    </xdr:from>
    <xdr:to>
      <xdr:col>21</xdr:col>
      <xdr:colOff>104588</xdr:colOff>
      <xdr:row>669</xdr:row>
      <xdr:rowOff>67235</xdr:rowOff>
    </xdr:to>
    <xdr:sp macro="" textlink="">
      <xdr:nvSpPr>
        <xdr:cNvPr id="416" name="TextBox 415">
          <a:extLst>
            <a:ext uri="{FF2B5EF4-FFF2-40B4-BE49-F238E27FC236}">
              <a16:creationId xmlns:a16="http://schemas.microsoft.com/office/drawing/2014/main" id="{00000000-0008-0000-0100-0000A0010000}"/>
            </a:ext>
          </a:extLst>
        </xdr:cNvPr>
        <xdr:cNvSpPr txBox="1"/>
      </xdr:nvSpPr>
      <xdr:spPr>
        <a:xfrm>
          <a:off x="6440543" y="157528859"/>
          <a:ext cx="3009751" cy="2976729"/>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Your client's psychosocial orientation presents a strong side and weak side. Guarding their more resolved need is their strong side. Generalizing to relieve their other need is their weak side. The opposing side flips these. Each side can demonstrate more love by 1) respectfully conveying to the other side the impact of a political loss, and 2) asking how a win could impact the needs of the other side. Meaningful competion is not between political winners and losers, but between who can create the most value by resolving needs and those stuck in pain-relieving generalizing. It is not what your client gets from political battles, but what they give.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152251</xdr:colOff>
      <xdr:row>669</xdr:row>
      <xdr:rowOff>227855</xdr:rowOff>
    </xdr:from>
    <xdr:to>
      <xdr:col>27</xdr:col>
      <xdr:colOff>65442</xdr:colOff>
      <xdr:row>674</xdr:row>
      <xdr:rowOff>73958</xdr:rowOff>
    </xdr:to>
    <xdr:sp macro="" textlink="">
      <xdr:nvSpPr>
        <xdr:cNvPr id="417" name="TextBox 416">
          <a:extLst>
            <a:ext uri="{FF2B5EF4-FFF2-40B4-BE49-F238E27FC236}">
              <a16:creationId xmlns:a16="http://schemas.microsoft.com/office/drawing/2014/main" id="{00000000-0008-0000-0100-0000A1010000}"/>
            </a:ext>
          </a:extLst>
        </xdr:cNvPr>
        <xdr:cNvSpPr txBox="1"/>
      </xdr:nvSpPr>
      <xdr:spPr>
        <a:xfrm>
          <a:off x="6530191" y="159737315"/>
          <a:ext cx="5948231" cy="107292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Your client's internal therapeutic changes are more sustainable when their external threats are addressed. </a:t>
          </a:r>
          <a:r>
            <a:rPr lang="en-US" sz="1200" b="1" baseline="0">
              <a:solidFill>
                <a:schemeClr val="dk1"/>
              </a:solidFill>
              <a:latin typeface="Cambria" panose="02040503050406030204" pitchFamily="18" charset="0"/>
              <a:ea typeface="Cambria" panose="02040503050406030204" pitchFamily="18" charset="0"/>
              <a:cs typeface="+mn-cs"/>
            </a:rPr>
            <a:t>Psychosociotherapy</a:t>
          </a:r>
          <a:r>
            <a:rPr lang="en-US" sz="1200" baseline="0">
              <a:solidFill>
                <a:schemeClr val="dk1"/>
              </a:solidFill>
              <a:latin typeface="Cambria" panose="02040503050406030204" pitchFamily="18" charset="0"/>
              <a:ea typeface="Cambria" panose="02040503050406030204" pitchFamily="18" charset="0"/>
              <a:cs typeface="+mn-cs"/>
            </a:rPr>
            <a:t> using </a:t>
          </a:r>
          <a:r>
            <a:rPr lang="en-US" sz="1200" b="1" baseline="0">
              <a:solidFill>
                <a:schemeClr val="dk1"/>
              </a:solidFill>
              <a:latin typeface="Cambria" panose="02040503050406030204" pitchFamily="18" charset="0"/>
              <a:ea typeface="Cambria" panose="02040503050406030204" pitchFamily="18" charset="0"/>
              <a:cs typeface="+mn-cs"/>
            </a:rPr>
            <a:t>need-response</a:t>
          </a:r>
          <a:r>
            <a:rPr lang="en-US" sz="1200" baseline="0">
              <a:solidFill>
                <a:schemeClr val="dk1"/>
              </a:solidFill>
              <a:latin typeface="Cambria" panose="02040503050406030204" pitchFamily="18" charset="0"/>
              <a:ea typeface="Cambria" panose="02040503050406030204" pitchFamily="18" charset="0"/>
              <a:cs typeface="+mn-cs"/>
            </a:rPr>
            <a:t> adds this needed depth to counseling. I look forward to working with you to resolve specific power-impacted needs between your client and powerful others. To grow love we all need.</a:t>
          </a:r>
        </a:p>
      </xdr:txBody>
    </xdr:sp>
    <xdr:clientData/>
  </xdr:twoCellAnchor>
  <xdr:twoCellAnchor>
    <xdr:from>
      <xdr:col>0</xdr:col>
      <xdr:colOff>107452</xdr:colOff>
      <xdr:row>698</xdr:row>
      <xdr:rowOff>11210</xdr:rowOff>
    </xdr:from>
    <xdr:to>
      <xdr:col>12</xdr:col>
      <xdr:colOff>497178</xdr:colOff>
      <xdr:row>701</xdr:row>
      <xdr:rowOff>163610</xdr:rowOff>
    </xdr:to>
    <xdr:grpSp>
      <xdr:nvGrpSpPr>
        <xdr:cNvPr id="21" name="Group 20">
          <a:extLst>
            <a:ext uri="{FF2B5EF4-FFF2-40B4-BE49-F238E27FC236}">
              <a16:creationId xmlns:a16="http://schemas.microsoft.com/office/drawing/2014/main" id="{00000000-0008-0000-0100-000015000000}"/>
            </a:ext>
          </a:extLst>
        </xdr:cNvPr>
        <xdr:cNvGrpSpPr/>
      </xdr:nvGrpSpPr>
      <xdr:grpSpPr>
        <a:xfrm>
          <a:off x="107452" y="166416770"/>
          <a:ext cx="6036146" cy="906780"/>
          <a:chOff x="99981" y="169615972"/>
          <a:chExt cx="6007608" cy="914400"/>
        </a:xfrm>
      </xdr:grpSpPr>
      <xdr:sp macro="" textlink="">
        <xdr:nvSpPr>
          <xdr:cNvPr id="439" name="TextBox 438">
            <a:extLst>
              <a:ext uri="{FF2B5EF4-FFF2-40B4-BE49-F238E27FC236}">
                <a16:creationId xmlns:a16="http://schemas.microsoft.com/office/drawing/2014/main" id="{00000000-0008-0000-0100-0000B7010000}"/>
              </a:ext>
            </a:extLst>
          </xdr:cNvPr>
          <xdr:cNvSpPr txBox="1"/>
        </xdr:nvSpPr>
        <xdr:spPr>
          <a:xfrm>
            <a:off x="99981" y="169615972"/>
            <a:ext cx="6007608" cy="914400"/>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Ins="914400" rtlCol="0" anchor="t"/>
          <a:lstStyle/>
          <a:p>
            <a:r>
              <a:rPr lang="en-US" sz="1000" b="1">
                <a:solidFill>
                  <a:srgbClr val="E1FFEB"/>
                </a:solidFill>
                <a:latin typeface="Tahoma" panose="020B0604030504040204" pitchFamily="34" charset="0"/>
                <a:ea typeface="Tahoma" panose="020B0604030504040204" pitchFamily="34" charset="0"/>
                <a:cs typeface="Tahoma" panose="020B0604030504040204" pitchFamily="34" charset="0"/>
              </a:rPr>
              <a:t>Steph Turner </a:t>
            </a:r>
            <a:r>
              <a:rPr lang="en-US" sz="1000">
                <a:solidFill>
                  <a:srgbClr val="E1FFEB"/>
                </a:solidFill>
                <a:latin typeface="Tahoma" panose="020B0604030504040204" pitchFamily="34" charset="0"/>
                <a:ea typeface="Tahoma" panose="020B0604030504040204" pitchFamily="34" charset="0"/>
                <a:cs typeface="Tahoma" panose="020B0604030504040204" pitchFamily="34" charset="0"/>
              </a:rPr>
              <a:t>is neither liberal nor conservative,</a:t>
            </a:r>
            <a:r>
              <a:rPr lang="en-US" sz="1000" baseline="0">
                <a:solidFill>
                  <a:srgbClr val="E1FFEB"/>
                </a:solidFill>
                <a:latin typeface="Tahoma" panose="020B0604030504040204" pitchFamily="34" charset="0"/>
                <a:ea typeface="Tahoma" panose="020B0604030504040204" pitchFamily="34" charset="0"/>
                <a:cs typeface="Tahoma" panose="020B0604030504040204" pitchFamily="34" charset="0"/>
              </a:rPr>
              <a:t> but "transpolitical." Steph identifies as a "transspirit" who is spiritually compelled to transcend divisive categories, to integrate complementary sides into a resolving whole. That includes transcending the generalized political left-rigth binary and transcending the generalized politial populace-elite binary. </a:t>
            </a:r>
            <a:endParaRPr lang="en-US" sz="1000">
              <a:solidFill>
                <a:srgbClr val="E1FFEB"/>
              </a:solidFill>
              <a:latin typeface="Tahoma" panose="020B0604030504040204" pitchFamily="34" charset="0"/>
              <a:ea typeface="Tahoma" panose="020B0604030504040204" pitchFamily="34" charset="0"/>
              <a:cs typeface="Tahoma" panose="020B0604030504040204" pitchFamily="34" charset="0"/>
            </a:endParaRPr>
          </a:p>
        </xdr:txBody>
      </xdr:sp>
      <xdr:pic>
        <xdr:nvPicPr>
          <xdr:cNvPr id="7" name="Picture 6">
            <a:hlinkClick xmlns:r="http://schemas.openxmlformats.org/officeDocument/2006/relationships" r:id="rId42" tooltip="to About page at Value Relating"/>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277251" y="169664528"/>
            <a:ext cx="774756" cy="772467"/>
          </a:xfrm>
          <a:prstGeom prst="rect">
            <a:avLst/>
          </a:prstGeom>
          <a:effectLst>
            <a:outerShdw blurRad="63500" sx="102000" sy="102000" algn="ctr" rotWithShape="0">
              <a:prstClr val="black">
                <a:alpha val="40000"/>
              </a:prstClr>
            </a:outerShdw>
            <a:softEdge rad="31750"/>
          </a:effectLst>
        </xdr:spPr>
      </xdr:pic>
    </xdr:grpSp>
    <xdr:clientData/>
  </xdr:twoCellAnchor>
  <xdr:twoCellAnchor>
    <xdr:from>
      <xdr:col>0</xdr:col>
      <xdr:colOff>112058</xdr:colOff>
      <xdr:row>693</xdr:row>
      <xdr:rowOff>18155</xdr:rowOff>
    </xdr:from>
    <xdr:to>
      <xdr:col>13</xdr:col>
      <xdr:colOff>1254</xdr:colOff>
      <xdr:row>697</xdr:row>
      <xdr:rowOff>209564</xdr:rowOff>
    </xdr:to>
    <xdr:grpSp>
      <xdr:nvGrpSpPr>
        <xdr:cNvPr id="23" name="Group 22">
          <a:extLst>
            <a:ext uri="{FF2B5EF4-FFF2-40B4-BE49-F238E27FC236}">
              <a16:creationId xmlns:a16="http://schemas.microsoft.com/office/drawing/2014/main" id="{00000000-0008-0000-0100-000017000000}"/>
            </a:ext>
          </a:extLst>
        </xdr:cNvPr>
        <xdr:cNvGrpSpPr/>
      </xdr:nvGrpSpPr>
      <xdr:grpSpPr>
        <a:xfrm>
          <a:off x="112058" y="165295955"/>
          <a:ext cx="6038536" cy="1067709"/>
          <a:chOff x="112058" y="166022096"/>
          <a:chExt cx="6007608" cy="1072939"/>
        </a:xfrm>
      </xdr:grpSpPr>
      <xdr:sp macro="" textlink="">
        <xdr:nvSpPr>
          <xdr:cNvPr id="628" name="Text Box 1">
            <a:hlinkClick xmlns:r="http://schemas.openxmlformats.org/officeDocument/2006/relationships" r:id="rId44"/>
            <a:extLst>
              <a:ext uri="{FF2B5EF4-FFF2-40B4-BE49-F238E27FC236}">
                <a16:creationId xmlns:a16="http://schemas.microsoft.com/office/drawing/2014/main" id="{00000000-0008-0000-0100-000074020000}"/>
              </a:ext>
            </a:extLst>
          </xdr:cNvPr>
          <xdr:cNvSpPr txBox="1"/>
        </xdr:nvSpPr>
        <xdr:spPr>
          <a:xfrm>
            <a:off x="112058" y="166133979"/>
            <a:ext cx="6007608" cy="833697"/>
          </a:xfrm>
          <a:prstGeom prst="rect">
            <a:avLst/>
          </a:prstGeom>
          <a:solidFill>
            <a:srgbClr val="E29BFF"/>
          </a:solidFill>
          <a:ln w="6350">
            <a:noFill/>
          </a:ln>
          <a:effectLst/>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2400" b="1" spc="100" baseline="0">
                <a:solidFill>
                  <a:srgbClr val="281437"/>
                </a:solidFill>
                <a:effectLst/>
                <a:latin typeface="Tahoma" panose="020B0604030504040204" pitchFamily="34" charset="0"/>
                <a:ea typeface="Tahoma" panose="020B0604030504040204" pitchFamily="34" charset="0"/>
                <a:cs typeface="Tahoma" panose="020B0604030504040204" pitchFamily="34" charset="0"/>
              </a:rPr>
              <a:t>You NEED This</a:t>
            </a:r>
          </a:p>
          <a:p>
            <a:pPr marL="0" marR="0" algn="r">
              <a:spcBef>
                <a:spcPts val="0"/>
              </a:spcBef>
              <a:spcAft>
                <a:spcPts val="0"/>
              </a:spcAft>
            </a:pPr>
            <a:r>
              <a:rPr lang="en-US" sz="1200" b="1">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Introducing</a:t>
            </a:r>
            <a:r>
              <a:rPr lang="en-US" sz="1200" b="1" baseline="0">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 Anankelogy, the study of need</a:t>
            </a:r>
            <a:endParaRPr lang="en-US" sz="1200">
              <a:solidFill>
                <a:srgbClr val="281437"/>
              </a:solidFill>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r">
              <a:spcBef>
                <a:spcPts val="0"/>
              </a:spcBef>
              <a:spcAft>
                <a:spcPts val="0"/>
              </a:spcAft>
            </a:pPr>
            <a:r>
              <a:rPr lang="en-US" sz="900">
                <a:effectLst/>
                <a:latin typeface="Tahoma" panose="020B0604030504040204" pitchFamily="34" charset="0"/>
                <a:ea typeface="Tahoma" panose="020B0604030504040204" pitchFamily="34" charset="0"/>
                <a:cs typeface="Tahoma" panose="020B0604030504040204" pitchFamily="34" charset="0"/>
              </a:rPr>
              <a:t>Set for</a:t>
            </a:r>
            <a:r>
              <a:rPr lang="en-US" sz="900" baseline="0">
                <a:effectLst/>
                <a:latin typeface="Tahoma" panose="020B0604030504040204" pitchFamily="34" charset="0"/>
                <a:ea typeface="Tahoma" panose="020B0604030504040204" pitchFamily="34" charset="0"/>
                <a:cs typeface="Tahoma" panose="020B0604030504040204" pitchFamily="34" charset="0"/>
              </a:rPr>
              <a:t> publication on June 20, 2021.</a:t>
            </a:r>
            <a:endParaRPr lang="en-US" sz="900">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1225" name="Picture 1224">
            <a:hlinkClick xmlns:r="http://schemas.openxmlformats.org/officeDocument/2006/relationships" r:id="rId44"/>
            <a:extLst>
              <a:ext uri="{FF2B5EF4-FFF2-40B4-BE49-F238E27FC236}">
                <a16:creationId xmlns:a16="http://schemas.microsoft.com/office/drawing/2014/main" id="{00000000-0008-0000-0100-0000C9040000}"/>
              </a:ext>
            </a:extLst>
          </xdr:cNvPr>
          <xdr:cNvPicPr>
            <a:picLocks noChangeAspect="1"/>
          </xdr:cNvPicPr>
        </xdr:nvPicPr>
        <xdr:blipFill>
          <a:blip xmlns:r="http://schemas.openxmlformats.org/officeDocument/2006/relationships" r:embed="rId45"/>
          <a:stretch>
            <a:fillRect/>
          </a:stretch>
        </xdr:blipFill>
        <xdr:spPr>
          <a:xfrm rot="295834">
            <a:off x="247342" y="166022096"/>
            <a:ext cx="713748" cy="1072939"/>
          </a:xfrm>
          <a:prstGeom prst="rect">
            <a:avLst/>
          </a:prstGeom>
          <a:effectLst>
            <a:outerShdw blurRad="50800" dist="38100" dir="2700000" algn="tl" rotWithShape="0">
              <a:prstClr val="black">
                <a:alpha val="40000"/>
              </a:prstClr>
            </a:outerShdw>
          </a:effectLst>
        </xdr:spPr>
      </xdr:pic>
      <xdr:sp macro="" textlink="">
        <xdr:nvSpPr>
          <xdr:cNvPr id="22" name="Rectangle: Rounded Corners 21">
            <a:hlinkClick xmlns:r="http://schemas.openxmlformats.org/officeDocument/2006/relationships" r:id="rId44"/>
            <a:extLst>
              <a:ext uri="{FF2B5EF4-FFF2-40B4-BE49-F238E27FC236}">
                <a16:creationId xmlns:a16="http://schemas.microsoft.com/office/drawing/2014/main" id="{00000000-0008-0000-0100-000016000000}"/>
              </a:ext>
            </a:extLst>
          </xdr:cNvPr>
          <xdr:cNvSpPr/>
        </xdr:nvSpPr>
        <xdr:spPr>
          <a:xfrm>
            <a:off x="1172883" y="166190707"/>
            <a:ext cx="1576295" cy="724647"/>
          </a:xfrm>
          <a:prstGeom prst="roundRect">
            <a:avLst>
              <a:gd name="adj" fmla="val 50000"/>
            </a:avLst>
          </a:prstGeom>
          <a:solidFill>
            <a:srgbClr val="78FFB4"/>
          </a:solidFill>
          <a:ln w="57150">
            <a:solidFill>
              <a:schemeClr val="bg1"/>
            </a:solidFill>
          </a:ln>
          <a:effectLst>
            <a:innerShdw blurRad="114300">
              <a:prstClr val="black"/>
            </a:innerShdw>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000">
                <a:effectLst/>
                <a:latin typeface="Tahoma" panose="020B0604030504040204" pitchFamily="34" charset="0"/>
                <a:ea typeface="Tahoma" panose="020B0604030504040204" pitchFamily="34" charset="0"/>
                <a:cs typeface="Tahoma" panose="020B0604030504040204" pitchFamily="34" charset="0"/>
              </a:rPr>
              <a:t>Steph is also the author of the forthcoming</a:t>
            </a:r>
            <a:r>
              <a:rPr lang="en-US" sz="1000" baseline="0">
                <a:effectLst/>
                <a:latin typeface="Tahoma" panose="020B0604030504040204" pitchFamily="34" charset="0"/>
                <a:ea typeface="Tahoma" panose="020B0604030504040204" pitchFamily="34" charset="0"/>
                <a:cs typeface="Tahoma" panose="020B0604030504040204" pitchFamily="34" charset="0"/>
              </a:rPr>
              <a:t> book </a:t>
            </a:r>
            <a:r>
              <a:rPr lang="en-US" sz="1000" b="1" i="1" baseline="0">
                <a:effectLst/>
                <a:latin typeface="Tahoma" panose="020B0604030504040204" pitchFamily="34" charset="0"/>
                <a:ea typeface="Tahoma" panose="020B0604030504040204" pitchFamily="34" charset="0"/>
                <a:cs typeface="Tahoma" panose="020B0604030504040204" pitchFamily="34" charset="0"/>
              </a:rPr>
              <a:t>You NEED This</a:t>
            </a:r>
            <a:r>
              <a:rPr lang="en-US" sz="1000" baseline="0">
                <a:effectLst/>
                <a:latin typeface="Tahoma" panose="020B0604030504040204" pitchFamily="34" charset="0"/>
                <a:ea typeface="Tahoma" panose="020B0604030504040204" pitchFamily="34" charset="0"/>
                <a:cs typeface="Tahoma" panose="020B0604030504040204" pitchFamily="34" charset="0"/>
              </a:rPr>
              <a:t>. </a:t>
            </a:r>
            <a:endParaRPr lang="en-US" sz="6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30729</xdr:colOff>
      <xdr:row>705</xdr:row>
      <xdr:rowOff>147072</xdr:rowOff>
    </xdr:from>
    <xdr:to>
      <xdr:col>26</xdr:col>
      <xdr:colOff>177203</xdr:colOff>
      <xdr:row>705</xdr:row>
      <xdr:rowOff>545354</xdr:rowOff>
    </xdr:to>
    <xdr:sp macro="" textlink="">
      <xdr:nvSpPr>
        <xdr:cNvPr id="445" name="TextBox 444">
          <a:extLst>
            <a:ext uri="{FF2B5EF4-FFF2-40B4-BE49-F238E27FC236}">
              <a16:creationId xmlns:a16="http://schemas.microsoft.com/office/drawing/2014/main" id="{00000000-0008-0000-0100-0000BD010000}"/>
            </a:ext>
          </a:extLst>
        </xdr:cNvPr>
        <xdr:cNvSpPr txBox="1"/>
      </xdr:nvSpPr>
      <xdr:spPr>
        <a:xfrm>
          <a:off x="6373258" y="169318543"/>
          <a:ext cx="5652298" cy="398282"/>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HHS.</a:t>
          </a:r>
          <a:r>
            <a:rPr lang="en-US" sz="800" b="1" baseline="0"/>
            <a:t> </a:t>
          </a:r>
          <a:r>
            <a:rPr lang="en-US" sz="800" b="1"/>
            <a:t>(</a:t>
          </a:r>
          <a:r>
            <a:rPr lang="en-US" sz="800" b="1">
              <a:solidFill>
                <a:schemeClr val="dk1"/>
              </a:solidFill>
              <a:latin typeface="+mn-lt"/>
              <a:ea typeface="+mn-ea"/>
              <a:cs typeface="+mn-cs"/>
            </a:rPr>
            <a:t>2013). Business Associate Contracts</a:t>
          </a:r>
          <a:r>
            <a:rPr lang="en-US" sz="800" b="1" baseline="0">
              <a:solidFill>
                <a:schemeClr val="dk1"/>
              </a:solidFill>
              <a:latin typeface="+mn-lt"/>
              <a:ea typeface="+mn-ea"/>
              <a:cs typeface="+mn-cs"/>
            </a:rPr>
            <a:t>.</a:t>
          </a:r>
          <a:r>
            <a:rPr lang="en-US" sz="800" b="1">
              <a:solidFill>
                <a:schemeClr val="dk1"/>
              </a:solidFill>
              <a:latin typeface="+mn-lt"/>
              <a:ea typeface="+mn-ea"/>
              <a:cs typeface="+mn-cs"/>
            </a:rPr>
            <a:t> </a:t>
          </a:r>
          <a:r>
            <a:rPr lang="en-US" sz="800" b="1"/>
            <a:t>https://www.hhs.gov/hipaa/for-professionals/covered-entities/sample-business-associate-agreement-provisions/index.html. Accessed 2020-11-08.</a:t>
          </a:r>
        </a:p>
      </xdr:txBody>
    </xdr:sp>
    <xdr:clientData/>
  </xdr:twoCellAnchor>
  <xdr:twoCellAnchor>
    <xdr:from>
      <xdr:col>23</xdr:col>
      <xdr:colOff>468163</xdr:colOff>
      <xdr:row>313</xdr:row>
      <xdr:rowOff>66104</xdr:rowOff>
    </xdr:from>
    <xdr:to>
      <xdr:col>26</xdr:col>
      <xdr:colOff>488215</xdr:colOff>
      <xdr:row>313</xdr:row>
      <xdr:rowOff>300185</xdr:rowOff>
    </xdr:to>
    <xdr:sp macro="" textlink="">
      <xdr:nvSpPr>
        <xdr:cNvPr id="474" name="Arrow: Left 473">
          <a:hlinkClick xmlns:r="http://schemas.openxmlformats.org/officeDocument/2006/relationships" r:id="rId2" tooltip="back to Harmony Politics tab"/>
          <a:extLst>
            <a:ext uri="{FF2B5EF4-FFF2-40B4-BE49-F238E27FC236}">
              <a16:creationId xmlns:a16="http://schemas.microsoft.com/office/drawing/2014/main" id="{00000000-0008-0000-0100-0000DA010000}"/>
            </a:ext>
          </a:extLst>
        </xdr:cNvPr>
        <xdr:cNvSpPr/>
      </xdr:nvSpPr>
      <xdr:spPr>
        <a:xfrm>
          <a:off x="10971063" y="769265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351</xdr:row>
      <xdr:rowOff>66104</xdr:rowOff>
    </xdr:from>
    <xdr:to>
      <xdr:col>26</xdr:col>
      <xdr:colOff>488215</xdr:colOff>
      <xdr:row>351</xdr:row>
      <xdr:rowOff>300185</xdr:rowOff>
    </xdr:to>
    <xdr:sp macro="" textlink="">
      <xdr:nvSpPr>
        <xdr:cNvPr id="475" name="Arrow: Left 474">
          <a:hlinkClick xmlns:r="http://schemas.openxmlformats.org/officeDocument/2006/relationships" r:id="rId2" tooltip="back to Harmony Politics tab"/>
          <a:extLst>
            <a:ext uri="{FF2B5EF4-FFF2-40B4-BE49-F238E27FC236}">
              <a16:creationId xmlns:a16="http://schemas.microsoft.com/office/drawing/2014/main" id="{00000000-0008-0000-0100-0000DB010000}"/>
            </a:ext>
          </a:extLst>
        </xdr:cNvPr>
        <xdr:cNvSpPr/>
      </xdr:nvSpPr>
      <xdr:spPr>
        <a:xfrm>
          <a:off x="10971063" y="855117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424</xdr:row>
      <xdr:rowOff>66104</xdr:rowOff>
    </xdr:from>
    <xdr:to>
      <xdr:col>26</xdr:col>
      <xdr:colOff>488215</xdr:colOff>
      <xdr:row>424</xdr:row>
      <xdr:rowOff>300185</xdr:rowOff>
    </xdr:to>
    <xdr:sp macro="" textlink="">
      <xdr:nvSpPr>
        <xdr:cNvPr id="476" name="Arrow: Left 475">
          <a:hlinkClick xmlns:r="http://schemas.openxmlformats.org/officeDocument/2006/relationships" r:id="rId2" tooltip="back to Harmony Politics tab"/>
          <a:extLst>
            <a:ext uri="{FF2B5EF4-FFF2-40B4-BE49-F238E27FC236}">
              <a16:creationId xmlns:a16="http://schemas.microsoft.com/office/drawing/2014/main" id="{00000000-0008-0000-0100-0000DC010000}"/>
            </a:ext>
          </a:extLst>
        </xdr:cNvPr>
        <xdr:cNvSpPr/>
      </xdr:nvSpPr>
      <xdr:spPr>
        <a:xfrm>
          <a:off x="10971063" y="1025932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460</xdr:row>
      <xdr:rowOff>66104</xdr:rowOff>
    </xdr:from>
    <xdr:to>
      <xdr:col>26</xdr:col>
      <xdr:colOff>488215</xdr:colOff>
      <xdr:row>460</xdr:row>
      <xdr:rowOff>300185</xdr:rowOff>
    </xdr:to>
    <xdr:sp macro="" textlink="">
      <xdr:nvSpPr>
        <xdr:cNvPr id="477" name="Arrow: Left 476">
          <a:hlinkClick xmlns:r="http://schemas.openxmlformats.org/officeDocument/2006/relationships" r:id="rId2" tooltip="back to Harmony Politics tab"/>
          <a:extLst>
            <a:ext uri="{FF2B5EF4-FFF2-40B4-BE49-F238E27FC236}">
              <a16:creationId xmlns:a16="http://schemas.microsoft.com/office/drawing/2014/main" id="{00000000-0008-0000-0100-0000DD010000}"/>
            </a:ext>
          </a:extLst>
        </xdr:cNvPr>
        <xdr:cNvSpPr/>
      </xdr:nvSpPr>
      <xdr:spPr>
        <a:xfrm>
          <a:off x="10971063" y="1111149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499</xdr:row>
      <xdr:rowOff>66104</xdr:rowOff>
    </xdr:from>
    <xdr:to>
      <xdr:col>26</xdr:col>
      <xdr:colOff>488215</xdr:colOff>
      <xdr:row>499</xdr:row>
      <xdr:rowOff>300185</xdr:rowOff>
    </xdr:to>
    <xdr:sp macro="" textlink="">
      <xdr:nvSpPr>
        <xdr:cNvPr id="478" name="Arrow: Left 477">
          <a:hlinkClick xmlns:r="http://schemas.openxmlformats.org/officeDocument/2006/relationships" r:id="rId2" tooltip="back to Harmony Politics tab"/>
          <a:extLst>
            <a:ext uri="{FF2B5EF4-FFF2-40B4-BE49-F238E27FC236}">
              <a16:creationId xmlns:a16="http://schemas.microsoft.com/office/drawing/2014/main" id="{00000000-0008-0000-0100-0000DE010000}"/>
            </a:ext>
          </a:extLst>
        </xdr:cNvPr>
        <xdr:cNvSpPr/>
      </xdr:nvSpPr>
      <xdr:spPr>
        <a:xfrm>
          <a:off x="10971063" y="119522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537</xdr:row>
      <xdr:rowOff>66104</xdr:rowOff>
    </xdr:from>
    <xdr:to>
      <xdr:col>26</xdr:col>
      <xdr:colOff>488215</xdr:colOff>
      <xdr:row>537</xdr:row>
      <xdr:rowOff>300185</xdr:rowOff>
    </xdr:to>
    <xdr:sp macro="" textlink="">
      <xdr:nvSpPr>
        <xdr:cNvPr id="479" name="Arrow: Left 478">
          <a:hlinkClick xmlns:r="http://schemas.openxmlformats.org/officeDocument/2006/relationships" r:id="rId2" tooltip="back to Harmony Politics tab"/>
          <a:extLst>
            <a:ext uri="{FF2B5EF4-FFF2-40B4-BE49-F238E27FC236}">
              <a16:creationId xmlns:a16="http://schemas.microsoft.com/office/drawing/2014/main" id="{00000000-0008-0000-0100-0000DF010000}"/>
            </a:ext>
          </a:extLst>
        </xdr:cNvPr>
        <xdr:cNvSpPr/>
      </xdr:nvSpPr>
      <xdr:spPr>
        <a:xfrm>
          <a:off x="10971063" y="128158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570</xdr:row>
      <xdr:rowOff>66104</xdr:rowOff>
    </xdr:from>
    <xdr:to>
      <xdr:col>26</xdr:col>
      <xdr:colOff>488215</xdr:colOff>
      <xdr:row>570</xdr:row>
      <xdr:rowOff>300185</xdr:rowOff>
    </xdr:to>
    <xdr:sp macro="" textlink="">
      <xdr:nvSpPr>
        <xdr:cNvPr id="480" name="Arrow: Left 479">
          <a:hlinkClick xmlns:r="http://schemas.openxmlformats.org/officeDocument/2006/relationships" r:id="rId2" tooltip="back to Harmony Politics tab"/>
          <a:extLst>
            <a:ext uri="{FF2B5EF4-FFF2-40B4-BE49-F238E27FC236}">
              <a16:creationId xmlns:a16="http://schemas.microsoft.com/office/drawing/2014/main" id="{00000000-0008-0000-0100-0000E0010000}"/>
            </a:ext>
          </a:extLst>
        </xdr:cNvPr>
        <xdr:cNvSpPr/>
      </xdr:nvSpPr>
      <xdr:spPr>
        <a:xfrm>
          <a:off x="10971063" y="136540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607</xdr:row>
      <xdr:rowOff>66104</xdr:rowOff>
    </xdr:from>
    <xdr:to>
      <xdr:col>26</xdr:col>
      <xdr:colOff>488215</xdr:colOff>
      <xdr:row>607</xdr:row>
      <xdr:rowOff>300185</xdr:rowOff>
    </xdr:to>
    <xdr:sp macro="" textlink="">
      <xdr:nvSpPr>
        <xdr:cNvPr id="481" name="Arrow: Left 480">
          <a:hlinkClick xmlns:r="http://schemas.openxmlformats.org/officeDocument/2006/relationships" r:id="rId2" tooltip="back to Harmony Politics tab"/>
          <a:extLst>
            <a:ext uri="{FF2B5EF4-FFF2-40B4-BE49-F238E27FC236}">
              <a16:creationId xmlns:a16="http://schemas.microsoft.com/office/drawing/2014/main" id="{00000000-0008-0000-0100-0000E1010000}"/>
            </a:ext>
          </a:extLst>
        </xdr:cNvPr>
        <xdr:cNvSpPr/>
      </xdr:nvSpPr>
      <xdr:spPr>
        <a:xfrm>
          <a:off x="10971063" y="1451890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640</xdr:row>
      <xdr:rowOff>66104</xdr:rowOff>
    </xdr:from>
    <xdr:to>
      <xdr:col>26</xdr:col>
      <xdr:colOff>488215</xdr:colOff>
      <xdr:row>640</xdr:row>
      <xdr:rowOff>300185</xdr:rowOff>
    </xdr:to>
    <xdr:sp macro="" textlink="">
      <xdr:nvSpPr>
        <xdr:cNvPr id="482" name="Arrow: Left 481">
          <a:hlinkClick xmlns:r="http://schemas.openxmlformats.org/officeDocument/2006/relationships" r:id="rId2" tooltip="back to Harmony Politics tab"/>
          <a:extLst>
            <a:ext uri="{FF2B5EF4-FFF2-40B4-BE49-F238E27FC236}">
              <a16:creationId xmlns:a16="http://schemas.microsoft.com/office/drawing/2014/main" id="{00000000-0008-0000-0100-0000E2010000}"/>
            </a:ext>
          </a:extLst>
        </xdr:cNvPr>
        <xdr:cNvSpPr/>
      </xdr:nvSpPr>
      <xdr:spPr>
        <a:xfrm>
          <a:off x="10971063" y="1537869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675</xdr:row>
      <xdr:rowOff>66104</xdr:rowOff>
    </xdr:from>
    <xdr:to>
      <xdr:col>26</xdr:col>
      <xdr:colOff>488215</xdr:colOff>
      <xdr:row>675</xdr:row>
      <xdr:rowOff>300185</xdr:rowOff>
    </xdr:to>
    <xdr:sp macro="" textlink="">
      <xdr:nvSpPr>
        <xdr:cNvPr id="483" name="Arrow: Left 482">
          <a:hlinkClick xmlns:r="http://schemas.openxmlformats.org/officeDocument/2006/relationships" r:id="rId2" tooltip="back to Harmony Politics tab"/>
          <a:extLst>
            <a:ext uri="{FF2B5EF4-FFF2-40B4-BE49-F238E27FC236}">
              <a16:creationId xmlns:a16="http://schemas.microsoft.com/office/drawing/2014/main" id="{00000000-0008-0000-0100-0000E3010000}"/>
            </a:ext>
          </a:extLst>
        </xdr:cNvPr>
        <xdr:cNvSpPr/>
      </xdr:nvSpPr>
      <xdr:spPr>
        <a:xfrm>
          <a:off x="10971063" y="1623848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76200</xdr:colOff>
      <xdr:row>191</xdr:row>
      <xdr:rowOff>7498</xdr:rowOff>
    </xdr:from>
    <xdr:to>
      <xdr:col>13</xdr:col>
      <xdr:colOff>25677</xdr:colOff>
      <xdr:row>192</xdr:row>
      <xdr:rowOff>187066</xdr:rowOff>
    </xdr:to>
    <xdr:grpSp>
      <xdr:nvGrpSpPr>
        <xdr:cNvPr id="492" name="Group 491">
          <a:extLst>
            <a:ext uri="{FF2B5EF4-FFF2-40B4-BE49-F238E27FC236}">
              <a16:creationId xmlns:a16="http://schemas.microsoft.com/office/drawing/2014/main" id="{00000000-0008-0000-0100-0000EC010000}"/>
            </a:ext>
          </a:extLst>
        </xdr:cNvPr>
        <xdr:cNvGrpSpPr/>
      </xdr:nvGrpSpPr>
      <xdr:grpSpPr>
        <a:xfrm>
          <a:off x="76200" y="48836458"/>
          <a:ext cx="6098817" cy="240528"/>
          <a:chOff x="6416054" y="107474752"/>
          <a:chExt cx="6101025" cy="273199"/>
        </a:xfrm>
      </xdr:grpSpPr>
      <xdr:pic>
        <xdr:nvPicPr>
          <xdr:cNvPr id="493" name="Picture 492">
            <a:extLst>
              <a:ext uri="{FF2B5EF4-FFF2-40B4-BE49-F238E27FC236}">
                <a16:creationId xmlns:a16="http://schemas.microsoft.com/office/drawing/2014/main" id="{00000000-0008-0000-0100-0000ED010000}"/>
              </a:ext>
            </a:extLst>
          </xdr:cNvPr>
          <xdr:cNvPicPr>
            <a:picLocks noChangeAspect="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b="82888"/>
          <a:stretch/>
        </xdr:blipFill>
        <xdr:spPr>
          <a:xfrm>
            <a:off x="9443582" y="107474752"/>
            <a:ext cx="3073497" cy="272611"/>
          </a:xfrm>
          <a:prstGeom prst="rect">
            <a:avLst/>
          </a:prstGeom>
        </xdr:spPr>
      </xdr:pic>
      <xdr:pic>
        <xdr:nvPicPr>
          <xdr:cNvPr id="494" name="Picture 493">
            <a:extLst>
              <a:ext uri="{FF2B5EF4-FFF2-40B4-BE49-F238E27FC236}">
                <a16:creationId xmlns:a16="http://schemas.microsoft.com/office/drawing/2014/main" id="{00000000-0008-0000-0100-0000EE010000}"/>
              </a:ext>
            </a:extLst>
          </xdr:cNvPr>
          <xdr:cNvPicPr>
            <a:picLocks noChangeAspect="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b="82859"/>
          <a:stretch/>
        </xdr:blipFill>
        <xdr:spPr>
          <a:xfrm>
            <a:off x="6416054" y="107474883"/>
            <a:ext cx="3073497" cy="273068"/>
          </a:xfrm>
          <a:prstGeom prst="rect">
            <a:avLst/>
          </a:prstGeom>
        </xdr:spPr>
      </xdr:pic>
    </xdr:grpSp>
    <xdr:clientData/>
  </xdr:twoCellAnchor>
  <xdr:oneCellAnchor>
    <xdr:from>
      <xdr:col>9</xdr:col>
      <xdr:colOff>132680</xdr:colOff>
      <xdr:row>679</xdr:row>
      <xdr:rowOff>239845</xdr:rowOff>
    </xdr:from>
    <xdr:ext cx="1513239" cy="743280"/>
    <xdr:sp macro="" textlink="">
      <xdr:nvSpPr>
        <xdr:cNvPr id="24" name="Rectangle 23">
          <a:extLst>
            <a:ext uri="{FF2B5EF4-FFF2-40B4-BE49-F238E27FC236}">
              <a16:creationId xmlns:a16="http://schemas.microsoft.com/office/drawing/2014/main" id="{00000000-0008-0000-0100-000018000000}"/>
            </a:ext>
          </a:extLst>
        </xdr:cNvPr>
        <xdr:cNvSpPr/>
      </xdr:nvSpPr>
      <xdr:spPr>
        <a:xfrm rot="520724">
          <a:off x="4270340" y="162103885"/>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9</xdr:col>
      <xdr:colOff>170781</xdr:colOff>
      <xdr:row>684</xdr:row>
      <xdr:rowOff>201744</xdr:rowOff>
    </xdr:from>
    <xdr:ext cx="1513239" cy="743280"/>
    <xdr:sp macro="" textlink="">
      <xdr:nvSpPr>
        <xdr:cNvPr id="495" name="Rectangle 494">
          <a:extLst>
            <a:ext uri="{FF2B5EF4-FFF2-40B4-BE49-F238E27FC236}">
              <a16:creationId xmlns:a16="http://schemas.microsoft.com/office/drawing/2014/main" id="{00000000-0008-0000-0100-0000EF010000}"/>
            </a:ext>
          </a:extLst>
        </xdr:cNvPr>
        <xdr:cNvSpPr/>
      </xdr:nvSpPr>
      <xdr:spPr>
        <a:xfrm rot="520724">
          <a:off x="4308441" y="16297256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9</xdr:col>
      <xdr:colOff>170782</xdr:colOff>
      <xdr:row>689</xdr:row>
      <xdr:rowOff>239844</xdr:rowOff>
    </xdr:from>
    <xdr:ext cx="1513239" cy="743280"/>
    <xdr:sp macro="" textlink="">
      <xdr:nvSpPr>
        <xdr:cNvPr id="496" name="Rectangle 495">
          <a:extLst>
            <a:ext uri="{FF2B5EF4-FFF2-40B4-BE49-F238E27FC236}">
              <a16:creationId xmlns:a16="http://schemas.microsoft.com/office/drawing/2014/main" id="{00000000-0008-0000-0100-0000F0010000}"/>
            </a:ext>
          </a:extLst>
        </xdr:cNvPr>
        <xdr:cNvSpPr/>
      </xdr:nvSpPr>
      <xdr:spPr>
        <a:xfrm rot="520724">
          <a:off x="4308442" y="16413842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3</xdr:col>
      <xdr:colOff>186023</xdr:colOff>
      <xdr:row>689</xdr:row>
      <xdr:rowOff>239844</xdr:rowOff>
    </xdr:from>
    <xdr:ext cx="1513239" cy="743280"/>
    <xdr:sp macro="" textlink="">
      <xdr:nvSpPr>
        <xdr:cNvPr id="497" name="Rectangle 496">
          <a:extLst>
            <a:ext uri="{FF2B5EF4-FFF2-40B4-BE49-F238E27FC236}">
              <a16:creationId xmlns:a16="http://schemas.microsoft.com/office/drawing/2014/main" id="{00000000-0008-0000-0100-0000F1010000}"/>
            </a:ext>
          </a:extLst>
        </xdr:cNvPr>
        <xdr:cNvSpPr/>
      </xdr:nvSpPr>
      <xdr:spPr>
        <a:xfrm rot="520724">
          <a:off x="1306163" y="16413842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1</xdr:col>
      <xdr:colOff>57008</xdr:colOff>
      <xdr:row>24</xdr:row>
      <xdr:rowOff>190315</xdr:rowOff>
    </xdr:from>
    <xdr:ext cx="5943600" cy="1966145"/>
    <xdr:sp macro="" textlink="">
      <xdr:nvSpPr>
        <xdr:cNvPr id="499" name="Rectangle 498">
          <a:extLst>
            <a:ext uri="{FF2B5EF4-FFF2-40B4-BE49-F238E27FC236}">
              <a16:creationId xmlns:a16="http://schemas.microsoft.com/office/drawing/2014/main" id="{00000000-0008-0000-0100-0000F3010000}"/>
            </a:ext>
          </a:extLst>
        </xdr:cNvPr>
        <xdr:cNvSpPr/>
      </xdr:nvSpPr>
      <xdr:spPr>
        <a:xfrm>
          <a:off x="171308" y="9639115"/>
          <a:ext cx="5943600" cy="1966145"/>
        </a:xfrm>
        <a:prstGeom prst="rect">
          <a:avLst/>
        </a:prstGeom>
        <a:noFill/>
      </xdr:spPr>
      <xdr:txBody>
        <a:bodyPr wrap="square" lIns="91440" tIns="45720" rIns="91440" bIns="45720">
          <a:noAutofit/>
        </a:bodyPr>
        <a:lstStyle/>
        <a:p>
          <a:pPr algn="l">
            <a:spcAft>
              <a:spcPts val="600"/>
            </a:spcAft>
          </a:pPr>
          <a:r>
            <a:rPr lang="en-US" sz="24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Instructions</a:t>
          </a:r>
          <a:endParaRPr lang="en-US" sz="32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r>
            <a:rPr lang="en-US" sz="14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Scroll down to find </a:t>
          </a:r>
          <a:r>
            <a:rPr lang="en-US" sz="14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the white fields. Click in each white field, and then select the best option from the dropdown list. Then scroll down to read the test fitting your chosen option. Save as a PDF. Clear the fields and use again.</a:t>
          </a:r>
        </a:p>
        <a:p>
          <a:pPr algn="l"/>
          <a:endParaRPr lang="en-US" sz="14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r>
            <a:rPr lang="en-US" sz="13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Check below for further options to serve your ideologically diverse clients.</a:t>
          </a:r>
          <a:endParaRPr lang="en-US" sz="13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15</xdr:col>
      <xdr:colOff>106679</xdr:colOff>
      <xdr:row>207</xdr:row>
      <xdr:rowOff>129541</xdr:rowOff>
    </xdr:from>
    <xdr:to>
      <xdr:col>27</xdr:col>
      <xdr:colOff>15239</xdr:colOff>
      <xdr:row>213</xdr:row>
      <xdr:rowOff>76200</xdr:rowOff>
    </xdr:to>
    <xdr:sp macro="" textlink="">
      <xdr:nvSpPr>
        <xdr:cNvPr id="502" name="TextBox 501">
          <a:extLst>
            <a:ext uri="{FF2B5EF4-FFF2-40B4-BE49-F238E27FC236}">
              <a16:creationId xmlns:a16="http://schemas.microsoft.com/office/drawing/2014/main" id="{00000000-0008-0000-0100-0000F6010000}"/>
            </a:ext>
          </a:extLst>
        </xdr:cNvPr>
        <xdr:cNvSpPr txBox="1"/>
      </xdr:nvSpPr>
      <xdr:spPr>
        <a:xfrm>
          <a:off x="6484619" y="52189381"/>
          <a:ext cx="5943600" cy="1264919"/>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If your client takes more of a liberal stance, see how their self-needs are typically more resolved than their social-needs. They are more certain of their authentic selves than how society will accept them. If your client takes more of a conservative stance, see how their social-needs are typically more resolved than their self-needs. They seek individual rights against encroachment on their traditional forms of cohesion. </a:t>
          </a:r>
        </a:p>
      </xdr:txBody>
    </xdr:sp>
    <xdr:clientData/>
  </xdr:twoCellAnchor>
  <xdr:oneCellAnchor>
    <xdr:from>
      <xdr:col>1</xdr:col>
      <xdr:colOff>0</xdr:colOff>
      <xdr:row>56</xdr:row>
      <xdr:rowOff>68580</xdr:rowOff>
    </xdr:from>
    <xdr:ext cx="5943600" cy="2194560"/>
    <xdr:sp macro="" textlink="">
      <xdr:nvSpPr>
        <xdr:cNvPr id="503" name="Rectangle 502">
          <a:extLst>
            <a:ext uri="{FF2B5EF4-FFF2-40B4-BE49-F238E27FC236}">
              <a16:creationId xmlns:a16="http://schemas.microsoft.com/office/drawing/2014/main" id="{00000000-0008-0000-0100-0000F7010000}"/>
            </a:ext>
          </a:extLst>
        </xdr:cNvPr>
        <xdr:cNvSpPr/>
      </xdr:nvSpPr>
      <xdr:spPr>
        <a:xfrm>
          <a:off x="114300" y="17990820"/>
          <a:ext cx="5943600" cy="2194560"/>
        </a:xfrm>
        <a:prstGeom prst="rect">
          <a:avLst/>
        </a:prstGeom>
        <a:noFill/>
      </xdr:spPr>
      <xdr:txBody>
        <a:bodyPr wrap="square" lIns="91440" tIns="45720" rIns="91440" bIns="4572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The central aim here is unhindered therapy</a:t>
          </a:r>
        </a:p>
        <a:p>
          <a:pPr algn="l"/>
          <a:r>
            <a:rPr lang="en-US" sz="14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 important therapeutic difference is not between liberalism and conservatism,</a:t>
          </a:r>
          <a:r>
            <a:rPr lang="en-US" sz="14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but between overgeneralizing on either side and getting to specific needs of each affected person. Such generalizing fuels prejudice that the worst on the other side must be representative of them all, while assuming one's own excessive generalizing is not so bad. Harmony Politics enables you to help clients address their specific needs, where actual therapy of politicized needs can honestly begin.</a:t>
          </a:r>
          <a:endParaRPr lang="en-US" sz="1400" b="0" cap="none" spc="0">
            <a:ln w="0"/>
            <a:solidFill>
              <a:srgbClr val="1E5A28"/>
            </a:solidFill>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14</xdr:col>
      <xdr:colOff>57150</xdr:colOff>
      <xdr:row>324</xdr:row>
      <xdr:rowOff>163830</xdr:rowOff>
    </xdr:from>
    <xdr:to>
      <xdr:col>26</xdr:col>
      <xdr:colOff>468631</xdr:colOff>
      <xdr:row>331</xdr:row>
      <xdr:rowOff>3810</xdr:rowOff>
    </xdr:to>
    <xdr:sp macro="" textlink="">
      <xdr:nvSpPr>
        <xdr:cNvPr id="504" name="TextBox 503">
          <a:extLst>
            <a:ext uri="{FF2B5EF4-FFF2-40B4-BE49-F238E27FC236}">
              <a16:creationId xmlns:a16="http://schemas.microsoft.com/office/drawing/2014/main" id="{00000000-0008-0000-0100-0000F8010000}"/>
            </a:ext>
          </a:extLst>
        </xdr:cNvPr>
        <xdr:cNvSpPr txBox="1"/>
      </xdr:nvSpPr>
      <xdr:spPr>
        <a:xfrm>
          <a:off x="6229350" y="77830680"/>
          <a:ext cx="5974081" cy="138303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which then prioritizes your attention over other needs. Those on the other political side experience an opposing priority of needs. Your client could experience this opposing priority. If attached to political generalizing, you risk some transference and countertransference with your client. You could needlessly provoke their defensiveness. If your client shares your prioritizing of this need, you risk getting lost in the same blind spots with your client. You mitigate by detaching from generalizing.</a:t>
          </a:r>
        </a:p>
      </xdr:txBody>
    </xdr:sp>
    <xdr:clientData/>
  </xdr:twoCellAnchor>
  <xdr:twoCellAnchor>
    <xdr:from>
      <xdr:col>14</xdr:col>
      <xdr:colOff>53340</xdr:colOff>
      <xdr:row>331</xdr:row>
      <xdr:rowOff>133350</xdr:rowOff>
    </xdr:from>
    <xdr:to>
      <xdr:col>26</xdr:col>
      <xdr:colOff>457201</xdr:colOff>
      <xdr:row>340</xdr:row>
      <xdr:rowOff>53340</xdr:rowOff>
    </xdr:to>
    <xdr:sp macro="" textlink="">
      <xdr:nvSpPr>
        <xdr:cNvPr id="505" name="TextBox 504">
          <a:extLst>
            <a:ext uri="{FF2B5EF4-FFF2-40B4-BE49-F238E27FC236}">
              <a16:creationId xmlns:a16="http://schemas.microsoft.com/office/drawing/2014/main" id="{00000000-0008-0000-0100-0000F9010000}"/>
            </a:ext>
          </a:extLst>
        </xdr:cNvPr>
        <xdr:cNvSpPr txBox="1"/>
      </xdr:nvSpPr>
      <xdr:spPr>
        <a:xfrm>
          <a:off x="6225540" y="79343250"/>
          <a:ext cx="5966461" cy="211074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Through the lens of their psychosocial orientation, your client views the affected needs of their own politial side over the affected needs on the other side. Their intensifying priority of needs compels them to ease their pain first. They can hardly empathize with pain on the other side. Your client likely feels stuck in emotional pain until sufficient resolution removes that pain. Political generalizing offers urgent relief from that pain.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Spurred into further generalizing, each side imagines the worst in the other. Your client may express outrage that the other side seems callous to your client's side's suffering. Your client could feel further outraged by the other side overgeneralizing their stance. Such catastrophizing may ease their pain. Rational thinking must take a back seat to the persisting pain of your client's publicly affected needs.</a:t>
          </a:r>
        </a:p>
      </xdr:txBody>
    </xdr:sp>
    <xdr:clientData/>
  </xdr:twoCellAnchor>
  <xdr:twoCellAnchor>
    <xdr:from>
      <xdr:col>15</xdr:col>
      <xdr:colOff>0</xdr:colOff>
      <xdr:row>341</xdr:row>
      <xdr:rowOff>41911</xdr:rowOff>
    </xdr:from>
    <xdr:to>
      <xdr:col>27</xdr:col>
      <xdr:colOff>0</xdr:colOff>
      <xdr:row>349</xdr:row>
      <xdr:rowOff>190500</xdr:rowOff>
    </xdr:to>
    <xdr:sp macro="" textlink="">
      <xdr:nvSpPr>
        <xdr:cNvPr id="506" name="TextBox 505">
          <a:extLst>
            <a:ext uri="{FF2B5EF4-FFF2-40B4-BE49-F238E27FC236}">
              <a16:creationId xmlns:a16="http://schemas.microsoft.com/office/drawing/2014/main" id="{00000000-0008-0000-0100-0000FA010000}"/>
            </a:ext>
          </a:extLst>
        </xdr:cNvPr>
        <xdr:cNvSpPr txBox="1"/>
      </xdr:nvSpPr>
      <xdr:spPr>
        <a:xfrm>
          <a:off x="6286500" y="81671161"/>
          <a:ext cx="5943600" cy="1748789"/>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endParaRPr lang="en-US" sz="1200">
            <a:solidFill>
              <a:schemeClr val="dk1"/>
            </a:solidFill>
            <a:latin typeface="Cambria" panose="02040503050406030204" pitchFamily="18" charset="0"/>
            <a:ea typeface="Cambria" panose="02040503050406030204" pitchFamily="18" charset="0"/>
            <a:cs typeface="+mn-cs"/>
          </a:endParaRP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Wide-oriented liberalism</a:t>
          </a:r>
          <a:r>
            <a:rPr lang="en-US" sz="1200" baseline="0">
              <a:solidFill>
                <a:schemeClr val="dk1"/>
              </a:solidFill>
              <a:latin typeface="Cambria" panose="02040503050406030204" pitchFamily="18" charset="0"/>
              <a:ea typeface="Cambria" panose="02040503050406030204" pitchFamily="18" charset="0"/>
              <a:cs typeface="+mn-cs"/>
            </a:rPr>
            <a:t> generalizes how to </a:t>
          </a:r>
          <a:r>
            <a:rPr lang="en-US" sz="1200">
              <a:solidFill>
                <a:schemeClr val="dk1"/>
              </a:solidFill>
              <a:latin typeface="Cambria" panose="02040503050406030204" pitchFamily="18" charset="0"/>
              <a:ea typeface="Cambria" panose="02040503050406030204" pitchFamily="18" charset="0"/>
              <a:cs typeface="+mn-cs"/>
            </a:rPr>
            <a:t>guard their more</a:t>
          </a:r>
          <a:r>
            <a:rPr lang="en-US" sz="1200" baseline="0">
              <a:solidFill>
                <a:schemeClr val="dk1"/>
              </a:solidFill>
              <a:latin typeface="Cambria" panose="02040503050406030204" pitchFamily="18" charset="0"/>
              <a:ea typeface="Cambria" panose="02040503050406030204" pitchFamily="18" charset="0"/>
              <a:cs typeface="+mn-cs"/>
            </a:rPr>
            <a:t> resolved self-needs, like authenticity, and generalizes how to relieve the pain of their less resolved social-needs, like socital inclusion. Deep-oriented conservatism generalizes how to guard their more resolved social-needs, like group cohesion, and generalizes how to relieve the pain of their less resolved self-needs, like independence.</a:t>
          </a:r>
        </a:p>
        <a:p>
          <a:endParaRPr lang="en-US" sz="1050">
            <a:latin typeface="Arial Narrow" panose="020B0606020202030204" pitchFamily="34" charset="0"/>
          </a:endParaRPr>
        </a:p>
      </xdr:txBody>
    </xdr:sp>
    <xdr:clientData/>
  </xdr:twoCellAnchor>
  <xdr:twoCellAnchor>
    <xdr:from>
      <xdr:col>15</xdr:col>
      <xdr:colOff>53340</xdr:colOff>
      <xdr:row>365</xdr:row>
      <xdr:rowOff>0</xdr:rowOff>
    </xdr:from>
    <xdr:to>
      <xdr:col>26</xdr:col>
      <xdr:colOff>495301</xdr:colOff>
      <xdr:row>368</xdr:row>
      <xdr:rowOff>548640</xdr:rowOff>
    </xdr:to>
    <xdr:sp macro="" textlink="">
      <xdr:nvSpPr>
        <xdr:cNvPr id="507" name="TextBox 506">
          <a:extLst>
            <a:ext uri="{FF2B5EF4-FFF2-40B4-BE49-F238E27FC236}">
              <a16:creationId xmlns:a16="http://schemas.microsoft.com/office/drawing/2014/main" id="{00000000-0008-0000-0100-0000FB010000}"/>
            </a:ext>
          </a:extLst>
        </xdr:cNvPr>
        <xdr:cNvSpPr txBox="1"/>
      </xdr:nvSpPr>
      <xdr:spPr>
        <a:xfrm>
          <a:off x="6431280" y="88018620"/>
          <a:ext cx="5974081" cy="130302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30480</xdr:colOff>
      <xdr:row>375</xdr:row>
      <xdr:rowOff>11430</xdr:rowOff>
    </xdr:from>
    <xdr:to>
      <xdr:col>26</xdr:col>
      <xdr:colOff>441960</xdr:colOff>
      <xdr:row>380</xdr:row>
      <xdr:rowOff>72390</xdr:rowOff>
    </xdr:to>
    <xdr:sp macro="" textlink="">
      <xdr:nvSpPr>
        <xdr:cNvPr id="509" name="TextBox 508">
          <a:extLst>
            <a:ext uri="{FF2B5EF4-FFF2-40B4-BE49-F238E27FC236}">
              <a16:creationId xmlns:a16="http://schemas.microsoft.com/office/drawing/2014/main" id="{00000000-0008-0000-0100-0000FD010000}"/>
            </a:ext>
          </a:extLst>
        </xdr:cNvPr>
        <xdr:cNvSpPr txBox="1"/>
      </xdr:nvSpPr>
      <xdr:spPr>
        <a:xfrm>
          <a:off x="6316980" y="89355930"/>
          <a:ext cx="5859780" cy="110871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Any attachment your client has to political generalizations is likely fueled by pain of unresolved needs. Instead of challenging your client's generalizing, invite them to get a little more specific. If they support a contested political stance, ask what that would do for them if allowed to come to past. Would that satisfy their apparent need or simply ease the pain?</a:t>
          </a:r>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7620</xdr:colOff>
      <xdr:row>395</xdr:row>
      <xdr:rowOff>106680</xdr:rowOff>
    </xdr:from>
    <xdr:to>
      <xdr:col>27</xdr:col>
      <xdr:colOff>7620</xdr:colOff>
      <xdr:row>420</xdr:row>
      <xdr:rowOff>148590</xdr:rowOff>
    </xdr:to>
    <xdr:sp macro="" textlink="">
      <xdr:nvSpPr>
        <xdr:cNvPr id="510" name="TextBox 509">
          <a:extLst>
            <a:ext uri="{FF2B5EF4-FFF2-40B4-BE49-F238E27FC236}">
              <a16:creationId xmlns:a16="http://schemas.microsoft.com/office/drawing/2014/main" id="{00000000-0008-0000-0100-0000FE010000}"/>
            </a:ext>
          </a:extLst>
        </xdr:cNvPr>
        <xdr:cNvSpPr txBox="1"/>
      </xdr:nvSpPr>
      <xdr:spPr>
        <a:xfrm>
          <a:off x="6294120" y="94213680"/>
          <a:ext cx="5943600" cy="537591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Your client's political views grant you a glimpse into their sensitive needs. At first, they cloak their affected needs as arguable political positions. It is easer for them to express an emotionally charged need </a:t>
          </a:r>
          <a:r>
            <a:rPr lang="en-US" sz="1200" baseline="0">
              <a:solidFill>
                <a:schemeClr val="dk1"/>
              </a:solidFill>
              <a:latin typeface="Cambria" panose="02040503050406030204" pitchFamily="18" charset="0"/>
              <a:ea typeface="Cambria" panose="02040503050406030204" pitchFamily="18" charset="0"/>
              <a:cs typeface="+mn-cs"/>
            </a:rPr>
            <a:t>when given with some idea how to relieve it. It is generally easier for your client to insist how others are respect their politicized need than to admit their underlying emotional pain.</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It generally is easier for them to change their expressed views than alter their politically charged feelings. They personally cannot do much about how others respect their public facing needs, but they can feel supported by those who agree with their particular stance. Their underlying feelings express the vulnerability of their publicly affected needs. They cannot change those feelings or their vulnerable needs as easily as they can alter their political views to fit a friendly or hostile audience. </a:t>
          </a:r>
        </a:p>
        <a:p>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peal back their layers of protected alienation to help resolve their deeper needs. Harmony Politics helps you reverse engineer their emotionally charged [political/ISSUE]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[this political issue/ISSUE] could undermine this intimate journey into greater self-awareness.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can feel alienated from you when you stay at the popularly expected level of agreement-disagreement. They likely expect you to agree with their political stance on a raised issue. If you miss this opportunity to connect beyond their political views, with a hint of disagreement, the client reflexively self-censors their politically charged feelings. They tested the waters and withdrew. They cannot change the needs fueling those feelings. They can more easily change your relation with you. This missed opportunity risks leaving your client stuck in alienation.</a:t>
          </a:r>
        </a:p>
      </xdr:txBody>
    </xdr:sp>
    <xdr:clientData/>
  </xdr:twoCellAnchor>
  <xdr:twoCellAnchor>
    <xdr:from>
      <xdr:col>15</xdr:col>
      <xdr:colOff>45720</xdr:colOff>
      <xdr:row>433</xdr:row>
      <xdr:rowOff>121920</xdr:rowOff>
    </xdr:from>
    <xdr:to>
      <xdr:col>26</xdr:col>
      <xdr:colOff>457200</xdr:colOff>
      <xdr:row>439</xdr:row>
      <xdr:rowOff>243840</xdr:rowOff>
    </xdr:to>
    <xdr:sp macro="" textlink="">
      <xdr:nvSpPr>
        <xdr:cNvPr id="511" name="TextBox 510">
          <a:extLst>
            <a:ext uri="{FF2B5EF4-FFF2-40B4-BE49-F238E27FC236}">
              <a16:creationId xmlns:a16="http://schemas.microsoft.com/office/drawing/2014/main" id="{00000000-0008-0000-0100-0000FF010000}"/>
            </a:ext>
          </a:extLst>
        </xdr:cNvPr>
        <xdr:cNvSpPr txBox="1"/>
      </xdr:nvSpPr>
      <xdr:spPr>
        <a:xfrm>
          <a:off x="6423660" y="103982520"/>
          <a:ext cx="5943600" cy="144018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Popular politics entices you and your client to stay shallow and alienated. You both are given a generalization to agree or disagree, with little room for nuance. If your client attaches to a widely supported position, it should ease their politicized pain.  Since this pain-relief does not resolve the needs provoking such pain, your client's politicized pain persists. Your client risks staying shallow and alienated to cope with unending pain of their unresolved needs. Shift from that overgeneralizing binary to deeper understanding of your client's politicized needs.</a:t>
          </a:r>
        </a:p>
      </xdr:txBody>
    </xdr:sp>
    <xdr:clientData/>
  </xdr:twoCellAnchor>
  <xdr:twoCellAnchor>
    <xdr:from>
      <xdr:col>14</xdr:col>
      <xdr:colOff>76200</xdr:colOff>
      <xdr:row>446</xdr:row>
      <xdr:rowOff>95250</xdr:rowOff>
    </xdr:from>
    <xdr:to>
      <xdr:col>26</xdr:col>
      <xdr:colOff>449580</xdr:colOff>
      <xdr:row>450</xdr:row>
      <xdr:rowOff>152400</xdr:rowOff>
    </xdr:to>
    <xdr:sp macro="" textlink="">
      <xdr:nvSpPr>
        <xdr:cNvPr id="512" name="TextBox 511">
          <a:extLst>
            <a:ext uri="{FF2B5EF4-FFF2-40B4-BE49-F238E27FC236}">
              <a16:creationId xmlns:a16="http://schemas.microsoft.com/office/drawing/2014/main" id="{00000000-0008-0000-0100-000000020000}"/>
            </a:ext>
          </a:extLst>
        </xdr:cNvPr>
        <xdr:cNvSpPr txBox="1"/>
      </xdr:nvSpPr>
      <xdr:spPr>
        <a:xfrm>
          <a:off x="6248400" y="104889300"/>
          <a:ext cx="5935980" cy="142875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Harmony Politics encourages you to go deep and connect with your client's and anyone's political views. Instead of arguing for one position against another, or some similar generalization for relief, you help them identify and express their specific affected needs. You guide them to see how their unique situation prompts them to prioritize one need over another. After seeing why each side prioritizes their particular needs, your client can appreciate politics is relative to needs. Then they can go deep and connect with political others, just as you went deep and connected with them.</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45720</xdr:colOff>
      <xdr:row>472</xdr:row>
      <xdr:rowOff>22860</xdr:rowOff>
    </xdr:from>
    <xdr:to>
      <xdr:col>27</xdr:col>
      <xdr:colOff>38100</xdr:colOff>
      <xdr:row>494</xdr:row>
      <xdr:rowOff>57150</xdr:rowOff>
    </xdr:to>
    <xdr:sp macro="" textlink="">
      <xdr:nvSpPr>
        <xdr:cNvPr id="513" name="TextBox 512">
          <a:extLst>
            <a:ext uri="{FF2B5EF4-FFF2-40B4-BE49-F238E27FC236}">
              <a16:creationId xmlns:a16="http://schemas.microsoft.com/office/drawing/2014/main" id="{00000000-0008-0000-0100-000001020000}"/>
            </a:ext>
          </a:extLst>
        </xdr:cNvPr>
        <xdr:cNvSpPr txBox="1"/>
      </xdr:nvSpPr>
      <xdr:spPr>
        <a:xfrm>
          <a:off x="6332220" y="111198660"/>
          <a:ext cx="5935980" cy="456819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The less your client's politicized needs resolve, the more drawn to extreme positions for relief. Political polarization feeds on our increasing volume of unresolved needs. You as their counselor can provide a meaningful alternative to the disappointment of divisive politics.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Instead of overgeneralizing by insisting we must react politically, you encourage your client to empathize with the other side. Ask your client how it impacts what they need when the other side insists we must the opposite of their own needs. You remain present for their painful reaction. You focus their attention to specific needs. You ask them if they still think this is more important than the affected needs of those on the other side.</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When you see they are ready to focus more on resolving affected needs, you encourage them to see the other side's affected needs are no more or less important than your politically affected needs. The more your client can empathize with the other side's priority of needs, ask them if this can make it easier for the other side to empathize with their priority of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If your client ever thought of the other side as all wrongheaded, does your client still think that way? Or can your client humanize the other side with competing needs? Can your client now understand why those most desperate on the other side may think of your client as complicit with other loathsome folks? Once your client can envision receiving more respect from the other side for their politicized needs, you can help free their focus on their impacted psychosocial needs. You can then segue to de-polarizing.</a:t>
          </a:r>
        </a:p>
      </xdr:txBody>
    </xdr:sp>
    <xdr:clientData/>
  </xdr:twoCellAnchor>
  <xdr:twoCellAnchor>
    <xdr:from>
      <xdr:col>15</xdr:col>
      <xdr:colOff>30480</xdr:colOff>
      <xdr:row>503</xdr:row>
      <xdr:rowOff>114300</xdr:rowOff>
    </xdr:from>
    <xdr:to>
      <xdr:col>27</xdr:col>
      <xdr:colOff>22860</xdr:colOff>
      <xdr:row>519</xdr:row>
      <xdr:rowOff>0</xdr:rowOff>
    </xdr:to>
    <xdr:sp macro="" textlink="">
      <xdr:nvSpPr>
        <xdr:cNvPr id="514" name="TextBox 513">
          <a:extLst>
            <a:ext uri="{FF2B5EF4-FFF2-40B4-BE49-F238E27FC236}">
              <a16:creationId xmlns:a16="http://schemas.microsoft.com/office/drawing/2014/main" id="{00000000-0008-0000-0100-000002020000}"/>
            </a:ext>
          </a:extLst>
        </xdr:cNvPr>
        <xdr:cNvSpPr txBox="1"/>
      </xdr:nvSpPr>
      <xdr:spPr>
        <a:xfrm>
          <a:off x="6316980" y="117786150"/>
          <a:ext cx="5935980" cy="346710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Nature pulls us to balance our self-needs and social-needs. Your client experiences intense emotions to compel them to resolve their affected psychosocial needs. These needs typically compel them to guard their more resolved psychsocial needs, while often spurring them to generalize how to relieve their less resolved psychosocial needs. This need for psychosocial balance fuels political tension.</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Situations beyond their personal control dictates these needs. Politics give expression to these impacts, with the support of those similar affected. Because we often blindly trust politics to ease such needs. As your client focuses on their more visible [politically expressed] need, you focus on their less visibly affected psychosocial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As you support resolving their affected self-needs on par with resolving their affected social-needs, you see their polarization gradually collapse. You nurture their conciliation between a wide and deep orientation to politicized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0</xdr:col>
      <xdr:colOff>111912</xdr:colOff>
      <xdr:row>678</xdr:row>
      <xdr:rowOff>119477</xdr:rowOff>
    </xdr:from>
    <xdr:to>
      <xdr:col>9</xdr:col>
      <xdr:colOff>420</xdr:colOff>
      <xdr:row>693</xdr:row>
      <xdr:rowOff>2776</xdr:rowOff>
    </xdr:to>
    <xdr:grpSp>
      <xdr:nvGrpSpPr>
        <xdr:cNvPr id="11" name="Group 10">
          <a:extLst>
            <a:ext uri="{FF2B5EF4-FFF2-40B4-BE49-F238E27FC236}">
              <a16:creationId xmlns:a16="http://schemas.microsoft.com/office/drawing/2014/main" id="{00000000-0008-0000-0100-00000B000000}"/>
            </a:ext>
          </a:extLst>
        </xdr:cNvPr>
        <xdr:cNvGrpSpPr/>
      </xdr:nvGrpSpPr>
      <xdr:grpSpPr>
        <a:xfrm>
          <a:off x="111912" y="162013997"/>
          <a:ext cx="4026168" cy="3266579"/>
          <a:chOff x="111912" y="161861597"/>
          <a:chExt cx="4026168" cy="3266579"/>
        </a:xfrm>
      </xdr:grpSpPr>
      <xdr:pic>
        <xdr:nvPicPr>
          <xdr:cNvPr id="1372" name="Picture 1371">
            <a:hlinkClick xmlns:r="http://schemas.openxmlformats.org/officeDocument/2006/relationships" r:id="rId48"/>
            <a:extLst>
              <a:ext uri="{FF2B5EF4-FFF2-40B4-BE49-F238E27FC236}">
                <a16:creationId xmlns:a16="http://schemas.microsoft.com/office/drawing/2014/main" id="{00000000-0008-0000-0100-00005C05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14312" y="162991757"/>
            <a:ext cx="1005837" cy="1005840"/>
          </a:xfrm>
          <a:prstGeom prst="rect">
            <a:avLst/>
          </a:prstGeom>
        </xdr:spPr>
      </xdr:pic>
      <xdr:pic>
        <xdr:nvPicPr>
          <xdr:cNvPr id="1373" name="Picture 1372">
            <a:hlinkClick xmlns:r="http://schemas.openxmlformats.org/officeDocument/2006/relationships" r:id="rId49"/>
            <a:extLst>
              <a:ext uri="{FF2B5EF4-FFF2-40B4-BE49-F238E27FC236}">
                <a16:creationId xmlns:a16="http://schemas.microsoft.com/office/drawing/2014/main" id="{00000000-0008-0000-0100-00005D05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11912" y="161861597"/>
            <a:ext cx="1005837" cy="1005840"/>
          </a:xfrm>
          <a:prstGeom prst="rect">
            <a:avLst/>
          </a:prstGeom>
        </xdr:spPr>
      </xdr:pic>
      <xdr:pic>
        <xdr:nvPicPr>
          <xdr:cNvPr id="1374" name="Picture 1373">
            <a:extLst>
              <a:ext uri="{FF2B5EF4-FFF2-40B4-BE49-F238E27FC236}">
                <a16:creationId xmlns:a16="http://schemas.microsoft.com/office/drawing/2014/main" id="{00000000-0008-0000-0100-00005E05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17241" y="164122336"/>
            <a:ext cx="1005837" cy="1005840"/>
          </a:xfrm>
          <a:prstGeom prst="rect">
            <a:avLst/>
          </a:prstGeom>
        </xdr:spPr>
      </xdr:pic>
      <xdr:pic>
        <xdr:nvPicPr>
          <xdr:cNvPr id="1375" name="Picture 1374">
            <a:extLst>
              <a:ext uri="{FF2B5EF4-FFF2-40B4-BE49-F238E27FC236}">
                <a16:creationId xmlns:a16="http://schemas.microsoft.com/office/drawing/2014/main" id="{00000000-0008-0000-0100-00005F05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132243" y="162992177"/>
            <a:ext cx="1005837" cy="1005840"/>
          </a:xfrm>
          <a:prstGeom prst="rect">
            <a:avLst/>
          </a:prstGeom>
        </xdr:spPr>
      </xdr:pic>
      <xdr:pic>
        <xdr:nvPicPr>
          <xdr:cNvPr id="1376" name="Picture 1375">
            <a:hlinkClick xmlns:r="http://schemas.openxmlformats.org/officeDocument/2006/relationships" r:id="rId50" tooltip="Declaration of Liberty [YouTube]"/>
            <a:extLst>
              <a:ext uri="{FF2B5EF4-FFF2-40B4-BE49-F238E27FC236}">
                <a16:creationId xmlns:a16="http://schemas.microsoft.com/office/drawing/2014/main" id="{00000000-0008-0000-0100-00006005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129844" y="164117536"/>
            <a:ext cx="1005837" cy="1005840"/>
          </a:xfrm>
          <a:prstGeom prst="rect">
            <a:avLst/>
          </a:prstGeom>
        </xdr:spPr>
      </xdr:pic>
      <xdr:pic>
        <xdr:nvPicPr>
          <xdr:cNvPr id="10" name="Picture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131820" y="161864040"/>
            <a:ext cx="1005840" cy="1005840"/>
          </a:xfrm>
          <a:prstGeom prst="rect">
            <a:avLst/>
          </a:prstGeom>
        </xdr:spPr>
      </xdr:pic>
    </xdr:grpSp>
    <xdr:clientData/>
  </xdr:twoCellAnchor>
  <xdr:oneCellAnchor>
    <xdr:from>
      <xdr:col>0</xdr:col>
      <xdr:colOff>91440</xdr:colOff>
      <xdr:row>83</xdr:row>
      <xdr:rowOff>171972</xdr:rowOff>
    </xdr:from>
    <xdr:ext cx="5852160" cy="866263"/>
    <xdr:sp macro="" textlink="">
      <xdr:nvSpPr>
        <xdr:cNvPr id="350" name="Identifying affected needs">
          <a:extLst>
            <a:ext uri="{FF2B5EF4-FFF2-40B4-BE49-F238E27FC236}">
              <a16:creationId xmlns:a16="http://schemas.microsoft.com/office/drawing/2014/main" id="{00000000-0008-0000-0100-00005E010000}"/>
            </a:ext>
          </a:extLst>
        </xdr:cNvPr>
        <xdr:cNvSpPr/>
      </xdr:nvSpPr>
      <xdr:spPr>
        <a:xfrm>
          <a:off x="91440" y="24380712"/>
          <a:ext cx="5852160" cy="866263"/>
        </a:xfrm>
        <a:prstGeom prst="rect">
          <a:avLst/>
        </a:prstGeom>
        <a:noFill/>
      </xdr:spPr>
      <xdr:txBody>
        <a:bodyPr wrap="square" lIns="91440" tIns="45720" rIns="91440" bIns="4572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Navigation</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200" b="0" cap="none" spc="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Click on</a:t>
          </a: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 a page header to return to the table of contents. Click on the up arrow to the right of a page header to return to the previous page. Click on the down arrow to the right of a page header to go to the next page.</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6</xdr:col>
      <xdr:colOff>342900</xdr:colOff>
      <xdr:row>53</xdr:row>
      <xdr:rowOff>95772</xdr:rowOff>
    </xdr:from>
    <xdr:ext cx="3200400" cy="587725"/>
    <xdr:sp macro="" textlink="">
      <xdr:nvSpPr>
        <xdr:cNvPr id="351" name="Identifying affected needs">
          <a:hlinkClick xmlns:r="http://schemas.openxmlformats.org/officeDocument/2006/relationships" r:id="rId52" tooltip="to next page header"/>
          <a:extLst>
            <a:ext uri="{FF2B5EF4-FFF2-40B4-BE49-F238E27FC236}">
              <a16:creationId xmlns:a16="http://schemas.microsoft.com/office/drawing/2014/main" id="{00000000-0008-0000-0100-00005F010000}"/>
            </a:ext>
          </a:extLst>
        </xdr:cNvPr>
        <xdr:cNvSpPr/>
      </xdr:nvSpPr>
      <xdr:spPr>
        <a:xfrm>
          <a:off x="2971800" y="17080752"/>
          <a:ext cx="3200400" cy="587725"/>
        </a:xfrm>
        <a:prstGeom prst="rect">
          <a:avLst/>
        </a:prstGeom>
        <a:noFill/>
      </xdr:spPr>
      <xdr:txBody>
        <a:bodyPr wrap="square" lIns="91440" tIns="45720" rIns="91440" bIns="45720" anchor="ctr">
          <a:spAutoFit/>
        </a:bodyPr>
        <a:lstStyle/>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Replace </a:t>
          </a:r>
          <a:r>
            <a:rPr lang="en-US" sz="1600" b="1" cap="all" baseline="0">
              <a:ln>
                <a:solidFill>
                  <a:schemeClr val="accent4">
                    <a:lumMod val="20000"/>
                    <a:lumOff val="80000"/>
                  </a:schemeClr>
                </a:solidFill>
              </a:ln>
              <a:solidFill>
                <a:schemeClr val="accent4">
                  <a:lumMod val="20000"/>
                  <a:lumOff val="80000"/>
                </a:schemeClr>
              </a:solidFill>
              <a:effectLst/>
              <a:latin typeface="Tahoma" panose="020B0604030504040204" pitchFamily="34" charset="0"/>
              <a:ea typeface="Tahoma" panose="020B0604030504040204" pitchFamily="34" charset="0"/>
              <a:cs typeface="Tahoma" panose="020B0604030504040204" pitchFamily="34" charset="0"/>
            </a:rPr>
            <a:t>debating</a:t>
          </a:r>
        </a:p>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with </a:t>
          </a:r>
          <a:r>
            <a:rPr lang="en-US" sz="1600" b="1" cap="all" spc="20" baseline="0">
              <a:ln>
                <a:solidFill>
                  <a:srgbClr val="D2FFE1"/>
                </a:solidFill>
              </a:ln>
              <a:solidFill>
                <a:srgbClr val="D2FFE1"/>
              </a:solidFill>
              <a:effectLst/>
              <a:latin typeface="Tahoma" panose="020B0604030504040204" pitchFamily="34" charset="0"/>
              <a:ea typeface="Tahoma" panose="020B0604030504040204" pitchFamily="34" charset="0"/>
              <a:cs typeface="Tahoma" panose="020B0604030504040204" pitchFamily="34" charset="0"/>
            </a:rPr>
            <a:t>relating</a:t>
          </a: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 </a:t>
          </a:r>
        </a:p>
      </xdr:txBody>
    </xdr:sp>
    <xdr:clientData/>
  </xdr:oneCellAnchor>
  <xdr:oneCellAnchor>
    <xdr:from>
      <xdr:col>1</xdr:col>
      <xdr:colOff>0</xdr:colOff>
      <xdr:row>700</xdr:row>
      <xdr:rowOff>152400</xdr:rowOff>
    </xdr:from>
    <xdr:ext cx="5285934" cy="262572"/>
    <xdr:sp macro="" textlink="">
      <xdr:nvSpPr>
        <xdr:cNvPr id="352" name="Identifying affected needs">
          <a:extLst>
            <a:ext uri="{FF2B5EF4-FFF2-40B4-BE49-F238E27FC236}">
              <a16:creationId xmlns:a16="http://schemas.microsoft.com/office/drawing/2014/main" id="{00000000-0008-0000-0100-000060010000}"/>
            </a:ext>
          </a:extLst>
        </xdr:cNvPr>
        <xdr:cNvSpPr/>
      </xdr:nvSpPr>
      <xdr:spPr>
        <a:xfrm>
          <a:off x="114300" y="166923720"/>
          <a:ext cx="5285934" cy="262572"/>
        </a:xfrm>
        <a:prstGeom prst="rect">
          <a:avLst/>
        </a:prstGeom>
        <a:noFill/>
      </xdr:spPr>
      <xdr:txBody>
        <a:bodyPr wrap="none" lIns="91440" tIns="45720" rIns="91440" bIns="45720">
          <a:spAutoFit/>
        </a:bodyPr>
        <a:lstStyle/>
        <a:p>
          <a:pPr algn="l"/>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Contact me and let me know</a:t>
          </a:r>
          <a:r>
            <a:rPr lang="en-US" sz="1100" baseline="0">
              <a:solidFill>
                <a:srgbClr val="FFFF00"/>
              </a:solidFill>
              <a:effectLst/>
              <a:latin typeface="Tahoma" panose="020B0604030504040204" pitchFamily="34" charset="0"/>
              <a:ea typeface="Tahoma" panose="020B0604030504040204" pitchFamily="34" charset="0"/>
              <a:cs typeface="Tahoma" panose="020B0604030504040204" pitchFamily="34" charset="0"/>
            </a:rPr>
            <a:t> h</a:t>
          </a:r>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ow can I improve this for you? What am I missing?</a:t>
          </a:r>
          <a:endParaRPr lang="en-US" sz="1100" b="0" cap="none" spc="0">
            <a:ln w="10160">
              <a:solidFill>
                <a:srgbClr val="7030A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60961</xdr:colOff>
      <xdr:row>706</xdr:row>
      <xdr:rowOff>55632</xdr:rowOff>
    </xdr:from>
    <xdr:to>
      <xdr:col>12</xdr:col>
      <xdr:colOff>487681</xdr:colOff>
      <xdr:row>709</xdr:row>
      <xdr:rowOff>101352</xdr:rowOff>
    </xdr:to>
    <xdr:sp macro="" textlink="">
      <xdr:nvSpPr>
        <xdr:cNvPr id="353" name="TextBox 352">
          <a:extLst>
            <a:ext uri="{FF2B5EF4-FFF2-40B4-BE49-F238E27FC236}">
              <a16:creationId xmlns:a16="http://schemas.microsoft.com/office/drawing/2014/main" id="{00000000-0008-0000-0100-000061010000}"/>
            </a:ext>
          </a:extLst>
        </xdr:cNvPr>
        <xdr:cNvSpPr txBox="1"/>
      </xdr:nvSpPr>
      <xdr:spPr>
        <a:xfrm>
          <a:off x="5204461" y="168823392"/>
          <a:ext cx="9296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45720" bIns="0" rtlCol="0" anchor="t"/>
        <a:lstStyle/>
        <a:p>
          <a:pPr algn="r"/>
          <a:r>
            <a:rPr lang="en-US" sz="900" b="1"/>
            <a:t>Thank you for this opportunity to serve</a:t>
          </a:r>
          <a:r>
            <a:rPr lang="en-US" sz="900" b="1" baseline="0"/>
            <a:t> your needs.</a:t>
          </a:r>
          <a:endParaRPr lang="en-US" sz="900" b="1"/>
        </a:p>
      </xdr:txBody>
    </xdr:sp>
    <xdr:clientData/>
  </xdr:twoCellAnchor>
  <xdr:twoCellAnchor>
    <xdr:from>
      <xdr:col>1</xdr:col>
      <xdr:colOff>30728</xdr:colOff>
      <xdr:row>706</xdr:row>
      <xdr:rowOff>48012</xdr:rowOff>
    </xdr:from>
    <xdr:to>
      <xdr:col>3</xdr:col>
      <xdr:colOff>30728</xdr:colOff>
      <xdr:row>709</xdr:row>
      <xdr:rowOff>93732</xdr:rowOff>
    </xdr:to>
    <xdr:sp macro="" textlink="">
      <xdr:nvSpPr>
        <xdr:cNvPr id="354" name="TextBox 353">
          <a:extLst>
            <a:ext uri="{FF2B5EF4-FFF2-40B4-BE49-F238E27FC236}">
              <a16:creationId xmlns:a16="http://schemas.microsoft.com/office/drawing/2014/main" id="{00000000-0008-0000-0100-000062010000}"/>
            </a:ext>
          </a:extLst>
        </xdr:cNvPr>
        <xdr:cNvSpPr txBox="1"/>
      </xdr:nvSpPr>
      <xdr:spPr>
        <a:xfrm>
          <a:off x="145028" y="168815772"/>
          <a:ext cx="10058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45720" bIns="0" rtlCol="0" anchor="t"/>
        <a:lstStyle/>
        <a:p>
          <a:pPr algn="l"/>
          <a:r>
            <a:rPr lang="en-US" sz="900" b="1"/>
            <a:t>Thank you for trying out this spreadsheet tool.</a:t>
          </a:r>
        </a:p>
      </xdr:txBody>
    </xdr:sp>
    <xdr:clientData/>
  </xdr:twoCellAnchor>
  <xdr:twoCellAnchor>
    <xdr:from>
      <xdr:col>15</xdr:col>
      <xdr:colOff>99060</xdr:colOff>
      <xdr:row>246</xdr:row>
      <xdr:rowOff>205740</xdr:rowOff>
    </xdr:from>
    <xdr:to>
      <xdr:col>27</xdr:col>
      <xdr:colOff>7620</xdr:colOff>
      <xdr:row>253</xdr:row>
      <xdr:rowOff>22859</xdr:rowOff>
    </xdr:to>
    <xdr:sp macro="" textlink="">
      <xdr:nvSpPr>
        <xdr:cNvPr id="357" name="Text Box 16">
          <a:extLst>
            <a:ext uri="{FF2B5EF4-FFF2-40B4-BE49-F238E27FC236}">
              <a16:creationId xmlns:a16="http://schemas.microsoft.com/office/drawing/2014/main" id="{00000000-0008-0000-0100-000065010000}"/>
            </a:ext>
          </a:extLst>
        </xdr:cNvPr>
        <xdr:cNvSpPr txBox="1"/>
      </xdr:nvSpPr>
      <xdr:spPr>
        <a:xfrm>
          <a:off x="6477000" y="61295280"/>
          <a:ext cx="5943600" cy="1386839"/>
        </a:xfrm>
        <a:prstGeom prst="rect">
          <a:avLst/>
        </a:prstGeom>
        <a:solidFill>
          <a:srgbClr val="78FFB4"/>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Deeper and more specifically, political</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contests reveal long standing obstacles to resolving needs. As public policy favors the prioritized need of one political side, it often limits the other side's capacity to fully resolve their priority of needs. The more one side can address their needs, their underling psychosocial needs resolve and ease their pain. The less the other side can address their needs, their underlying psychosocial needs remain painfully bare. Demoracy then sinks into a passive-aggressive struggle to take turns easing the pain of each other's public facing needs. </a:t>
          </a:r>
        </a:p>
        <a:p>
          <a:pPr marL="0" marR="0">
            <a:spcBef>
              <a:spcPts val="0"/>
            </a:spcBef>
            <a:spcAft>
              <a:spcPts val="0"/>
            </a:spcAft>
          </a:pPr>
          <a:endParaRPr lang="en-US" sz="1200" baseline="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Two wrongs do not make a right, but sometimes they make a law.</a:t>
          </a:r>
        </a:p>
        <a:p>
          <a:pPr marL="0" marR="0">
            <a:spcBef>
              <a:spcPts val="0"/>
            </a:spcBef>
            <a:spcAft>
              <a:spcPts val="0"/>
            </a:spcAft>
          </a:pPr>
          <a:endParaRPr lang="en-US" sz="1200" baseline="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As distrust of elites increases, </a:t>
          </a:r>
        </a:p>
        <a:p>
          <a:pPr marL="0" marR="0">
            <a:spcBef>
              <a:spcPts val="0"/>
            </a:spcBef>
            <a:spcAft>
              <a:spcPts val="0"/>
            </a:spcAft>
          </a:pP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twoCellAnchor>
    <xdr:from>
      <xdr:col>15</xdr:col>
      <xdr:colOff>91440</xdr:colOff>
      <xdr:row>253</xdr:row>
      <xdr:rowOff>68580</xdr:rowOff>
    </xdr:from>
    <xdr:to>
      <xdr:col>27</xdr:col>
      <xdr:colOff>0</xdr:colOff>
      <xdr:row>259</xdr:row>
      <xdr:rowOff>190500</xdr:rowOff>
    </xdr:to>
    <xdr:sp macro="" textlink="">
      <xdr:nvSpPr>
        <xdr:cNvPr id="359" name="Text Box 16">
          <a:extLst>
            <a:ext uri="{FF2B5EF4-FFF2-40B4-BE49-F238E27FC236}">
              <a16:creationId xmlns:a16="http://schemas.microsoft.com/office/drawing/2014/main" id="{00000000-0008-0000-0100-000067010000}"/>
            </a:ext>
          </a:extLst>
        </xdr:cNvPr>
        <xdr:cNvSpPr txBox="1"/>
      </xdr:nvSpPr>
      <xdr:spPr>
        <a:xfrm>
          <a:off x="6469380" y="62727840"/>
          <a:ext cx="5943600" cy="1440180"/>
        </a:xfrm>
        <a:prstGeom prst="rect">
          <a:avLst/>
        </a:prstGeom>
        <a:solidFill>
          <a:srgbClr val="78FFB4"/>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It is an overgeneralization to expect society to officially side with one priority over the other. These competing needs emerge as an arbitrary artifact of culture. If humanity always sided with the needs of the wide-oriented against the needs of deep-oriented, or with the needs of the deep-oriented against the needs of wide-oriented, there would be no humanity. This division is more of a structural </a:t>
          </a:r>
          <a:r>
            <a:rPr lang="en-US" sz="1200" baseline="0">
              <a:effectLst/>
              <a:latin typeface="Cambria" panose="02040503050406030204" pitchFamily="18" charset="0"/>
              <a:ea typeface="Cambria" panose="02040503050406030204" pitchFamily="18" charset="0"/>
              <a:cs typeface="Times New Roman" panose="02020603050405020304" pitchFamily="18" charset="0"/>
            </a:rPr>
            <a:t>problem, beyond the scope of traditional psychotherapy.</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oneCellAnchor>
    <xdr:from>
      <xdr:col>2</xdr:col>
      <xdr:colOff>53340</xdr:colOff>
      <xdr:row>19</xdr:row>
      <xdr:rowOff>5810</xdr:rowOff>
    </xdr:from>
    <xdr:ext cx="5029200" cy="726481"/>
    <xdr:sp macro="" textlink="">
      <xdr:nvSpPr>
        <xdr:cNvPr id="362" name="Rectangle 361">
          <a:extLst>
            <a:ext uri="{FF2B5EF4-FFF2-40B4-BE49-F238E27FC236}">
              <a16:creationId xmlns:a16="http://schemas.microsoft.com/office/drawing/2014/main" id="{00000000-0008-0000-0100-00006A010000}"/>
            </a:ext>
          </a:extLst>
        </xdr:cNvPr>
        <xdr:cNvSpPr/>
      </xdr:nvSpPr>
      <xdr:spPr>
        <a:xfrm>
          <a:off x="670560" y="7176230"/>
          <a:ext cx="5029200" cy="726481"/>
        </a:xfrm>
        <a:prstGeom prst="rect">
          <a:avLst/>
        </a:prstGeom>
        <a:solidFill>
          <a:srgbClr val="7030A0"/>
        </a:solidFill>
      </xdr:spPr>
      <xdr:txBody>
        <a:bodyPr wrap="square" lIns="91440" tIns="45720" rIns="91440" bIns="45720" anchor="ctr">
          <a:spAutoFit/>
        </a:bodyPr>
        <a:lstStyle/>
        <a:p>
          <a:pPr algn="ctr">
            <a:spcAft>
              <a:spcPts val="600"/>
            </a:spcAft>
          </a:pPr>
          <a:r>
            <a:rPr lang="en-US" sz="2400" b="1" cap="none" spc="50" baseline="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A5FFC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Value</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Relating</a:t>
          </a:r>
        </a:p>
        <a:p>
          <a:pPr algn="ctr"/>
          <a:r>
            <a:rPr lang="en-US" sz="1200" b="1" cap="none" spc="0">
              <a:ln w="0"/>
              <a:solidFill>
                <a:srgbClr val="64FF9B"/>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solving problems </a:t>
          </a:r>
          <a:r>
            <a:rPr lang="en-US" sz="1200" b="1" cap="none" spc="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1200" b="1" cap="none" spc="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200" b="1" cap="none" spc="0">
              <a:ln w="0"/>
              <a:solidFill>
                <a:srgbClr val="FF00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resolving needs</a:t>
          </a:r>
        </a:p>
      </xdr:txBody>
    </xdr:sp>
    <xdr:clientData/>
  </xdr:oneCellAnchor>
  <xdr:oneCellAnchor>
    <xdr:from>
      <xdr:col>1</xdr:col>
      <xdr:colOff>175260</xdr:colOff>
      <xdr:row>527</xdr:row>
      <xdr:rowOff>232225</xdr:rowOff>
    </xdr:from>
    <xdr:ext cx="5645263" cy="401905"/>
    <xdr:sp macro="" textlink="">
      <xdr:nvSpPr>
        <xdr:cNvPr id="15" name="Rectangle 14">
          <a:hlinkClick xmlns:r="http://schemas.openxmlformats.org/officeDocument/2006/relationships" r:id="rId27" tooltip="click to go the HP tab"/>
          <a:extLst>
            <a:ext uri="{FF2B5EF4-FFF2-40B4-BE49-F238E27FC236}">
              <a16:creationId xmlns:a16="http://schemas.microsoft.com/office/drawing/2014/main" id="{00000000-0008-0000-0100-00000F000000}"/>
            </a:ext>
          </a:extLst>
        </xdr:cNvPr>
        <xdr:cNvSpPr/>
      </xdr:nvSpPr>
      <xdr:spPr>
        <a:xfrm>
          <a:off x="289560" y="125116405"/>
          <a:ext cx="5645263" cy="401905"/>
        </a:xfrm>
        <a:prstGeom prst="rect">
          <a:avLst/>
        </a:prstGeom>
        <a:noFill/>
      </xdr:spPr>
      <xdr:txBody>
        <a:bodyPr wrap="none" lIns="91440" tIns="45720" rIns="91440" bIns="45720" anchor="ctr">
          <a:spAutoFit/>
        </a:bodyPr>
        <a:lstStyle/>
        <a:p>
          <a:pPr algn="ctr"/>
          <a:r>
            <a:rPr lang="en-US" sz="2000" b="1" cap="none" spc="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learn more more</a:t>
          </a:r>
          <a:r>
            <a:rPr lang="en-US" sz="2000" b="1" cap="none" spc="0" baseline="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 about Harmony Politics</a:t>
          </a:r>
          <a:r>
            <a:rPr lang="en-US" sz="2000" b="1" cap="none" spc="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oneCellAnchor>
  <xdr:twoCellAnchor>
    <xdr:from>
      <xdr:col>8</xdr:col>
      <xdr:colOff>91440</xdr:colOff>
      <xdr:row>243</xdr:row>
      <xdr:rowOff>38100</xdr:rowOff>
    </xdr:from>
    <xdr:to>
      <xdr:col>9</xdr:col>
      <xdr:colOff>480060</xdr:colOff>
      <xdr:row>243</xdr:row>
      <xdr:rowOff>198120</xdr:rowOff>
    </xdr:to>
    <xdr:sp macro="" textlink="">
      <xdr:nvSpPr>
        <xdr:cNvPr id="9" name="Rectangle: Rounded Corners 8">
          <a:extLst>
            <a:ext uri="{FF2B5EF4-FFF2-40B4-BE49-F238E27FC236}">
              <a16:creationId xmlns:a16="http://schemas.microsoft.com/office/drawing/2014/main" id="{00000000-0008-0000-0100-000009000000}"/>
            </a:ext>
          </a:extLst>
        </xdr:cNvPr>
        <xdr:cNvSpPr/>
      </xdr:nvSpPr>
      <xdr:spPr>
        <a:xfrm>
          <a:off x="3726180" y="6041898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99060</xdr:colOff>
      <xdr:row>243</xdr:row>
      <xdr:rowOff>220980</xdr:rowOff>
    </xdr:from>
    <xdr:to>
      <xdr:col>5</xdr:col>
      <xdr:colOff>487680</xdr:colOff>
      <xdr:row>244</xdr:row>
      <xdr:rowOff>129540</xdr:rowOff>
    </xdr:to>
    <xdr:sp macro="" textlink="">
      <xdr:nvSpPr>
        <xdr:cNvPr id="257" name="Rectangle: Rounded Corners 256">
          <a:extLst>
            <a:ext uri="{FF2B5EF4-FFF2-40B4-BE49-F238E27FC236}">
              <a16:creationId xmlns:a16="http://schemas.microsoft.com/office/drawing/2014/main" id="{00000000-0008-0000-0100-000001010000}"/>
            </a:ext>
          </a:extLst>
        </xdr:cNvPr>
        <xdr:cNvSpPr/>
      </xdr:nvSpPr>
      <xdr:spPr>
        <a:xfrm>
          <a:off x="1722120" y="6060186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441960</xdr:colOff>
      <xdr:row>243</xdr:row>
      <xdr:rowOff>236220</xdr:rowOff>
    </xdr:from>
    <xdr:to>
      <xdr:col>8</xdr:col>
      <xdr:colOff>259080</xdr:colOff>
      <xdr:row>244</xdr:row>
      <xdr:rowOff>144780</xdr:rowOff>
    </xdr:to>
    <xdr:sp macro="" textlink="">
      <xdr:nvSpPr>
        <xdr:cNvPr id="258" name="Rectangle: Rounded Corners 257">
          <a:extLst>
            <a:ext uri="{FF2B5EF4-FFF2-40B4-BE49-F238E27FC236}">
              <a16:creationId xmlns:a16="http://schemas.microsoft.com/office/drawing/2014/main" id="{00000000-0008-0000-0100-000002010000}"/>
            </a:ext>
          </a:extLst>
        </xdr:cNvPr>
        <xdr:cNvSpPr/>
      </xdr:nvSpPr>
      <xdr:spPr>
        <a:xfrm>
          <a:off x="3070860" y="6061710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15240</xdr:colOff>
      <xdr:row>248</xdr:row>
      <xdr:rowOff>15240</xdr:rowOff>
    </xdr:from>
    <xdr:to>
      <xdr:col>2</xdr:col>
      <xdr:colOff>403860</xdr:colOff>
      <xdr:row>248</xdr:row>
      <xdr:rowOff>175260</xdr:rowOff>
    </xdr:to>
    <xdr:sp macro="" textlink="">
      <xdr:nvSpPr>
        <xdr:cNvPr id="271" name="Rectangle: Rounded Corners 270">
          <a:extLst>
            <a:ext uri="{FF2B5EF4-FFF2-40B4-BE49-F238E27FC236}">
              <a16:creationId xmlns:a16="http://schemas.microsoft.com/office/drawing/2014/main" id="{00000000-0008-0000-0100-00000F010000}"/>
            </a:ext>
          </a:extLst>
        </xdr:cNvPr>
        <xdr:cNvSpPr/>
      </xdr:nvSpPr>
      <xdr:spPr>
        <a:xfrm>
          <a:off x="129540" y="6146292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152400</xdr:colOff>
      <xdr:row>248</xdr:row>
      <xdr:rowOff>38100</xdr:rowOff>
    </xdr:from>
    <xdr:to>
      <xdr:col>5</xdr:col>
      <xdr:colOff>381000</xdr:colOff>
      <xdr:row>248</xdr:row>
      <xdr:rowOff>198120</xdr:rowOff>
    </xdr:to>
    <xdr:sp macro="" textlink="">
      <xdr:nvSpPr>
        <xdr:cNvPr id="272" name="Rectangle: Rounded Corners 271">
          <a:extLst>
            <a:ext uri="{FF2B5EF4-FFF2-40B4-BE49-F238E27FC236}">
              <a16:creationId xmlns:a16="http://schemas.microsoft.com/office/drawing/2014/main" id="{00000000-0008-0000-0100-000010010000}"/>
            </a:ext>
          </a:extLst>
        </xdr:cNvPr>
        <xdr:cNvSpPr/>
      </xdr:nvSpPr>
      <xdr:spPr>
        <a:xfrm>
          <a:off x="1775460" y="61485780"/>
          <a:ext cx="73152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419100</xdr:colOff>
      <xdr:row>248</xdr:row>
      <xdr:rowOff>45720</xdr:rowOff>
    </xdr:from>
    <xdr:to>
      <xdr:col>8</xdr:col>
      <xdr:colOff>236220</xdr:colOff>
      <xdr:row>248</xdr:row>
      <xdr:rowOff>205740</xdr:rowOff>
    </xdr:to>
    <xdr:sp macro="" textlink="">
      <xdr:nvSpPr>
        <xdr:cNvPr id="273" name="Rectangle: Rounded Corners 272">
          <a:extLst>
            <a:ext uri="{FF2B5EF4-FFF2-40B4-BE49-F238E27FC236}">
              <a16:creationId xmlns:a16="http://schemas.microsoft.com/office/drawing/2014/main" id="{00000000-0008-0000-0100-000011010000}"/>
            </a:ext>
          </a:extLst>
        </xdr:cNvPr>
        <xdr:cNvSpPr/>
      </xdr:nvSpPr>
      <xdr:spPr>
        <a:xfrm>
          <a:off x="3048000" y="6149340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228600</xdr:colOff>
      <xdr:row>248</xdr:row>
      <xdr:rowOff>236220</xdr:rowOff>
    </xdr:from>
    <xdr:to>
      <xdr:col>8</xdr:col>
      <xdr:colOff>114300</xdr:colOff>
      <xdr:row>249</xdr:row>
      <xdr:rowOff>144780</xdr:rowOff>
    </xdr:to>
    <xdr:sp macro="" textlink="">
      <xdr:nvSpPr>
        <xdr:cNvPr id="274" name="Rectangle: Rounded Corners 273">
          <a:extLst>
            <a:ext uri="{FF2B5EF4-FFF2-40B4-BE49-F238E27FC236}">
              <a16:creationId xmlns:a16="http://schemas.microsoft.com/office/drawing/2014/main" id="{00000000-0008-0000-0100-000012010000}"/>
            </a:ext>
          </a:extLst>
        </xdr:cNvPr>
        <xdr:cNvSpPr/>
      </xdr:nvSpPr>
      <xdr:spPr>
        <a:xfrm>
          <a:off x="2857500" y="6168390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10</xdr:col>
      <xdr:colOff>274320</xdr:colOff>
      <xdr:row>249</xdr:row>
      <xdr:rowOff>0</xdr:rowOff>
    </xdr:from>
    <xdr:to>
      <xdr:col>12</xdr:col>
      <xdr:colOff>457200</xdr:colOff>
      <xdr:row>249</xdr:row>
      <xdr:rowOff>160020</xdr:rowOff>
    </xdr:to>
    <xdr:sp macro="" textlink="">
      <xdr:nvSpPr>
        <xdr:cNvPr id="275" name="Rectangle: Rounded Corners 274">
          <a:extLst>
            <a:ext uri="{FF2B5EF4-FFF2-40B4-BE49-F238E27FC236}">
              <a16:creationId xmlns:a16="http://schemas.microsoft.com/office/drawing/2014/main" id="{00000000-0008-0000-0100-000013010000}"/>
            </a:ext>
          </a:extLst>
        </xdr:cNvPr>
        <xdr:cNvSpPr/>
      </xdr:nvSpPr>
      <xdr:spPr>
        <a:xfrm>
          <a:off x="4914900" y="61699140"/>
          <a:ext cx="118872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7620</xdr:colOff>
      <xdr:row>251</xdr:row>
      <xdr:rowOff>30480</xdr:rowOff>
    </xdr:from>
    <xdr:to>
      <xdr:col>2</xdr:col>
      <xdr:colOff>396240</xdr:colOff>
      <xdr:row>251</xdr:row>
      <xdr:rowOff>190500</xdr:rowOff>
    </xdr:to>
    <xdr:sp macro="" textlink="">
      <xdr:nvSpPr>
        <xdr:cNvPr id="276" name="Rectangle: Rounded Corners 275">
          <a:extLst>
            <a:ext uri="{FF2B5EF4-FFF2-40B4-BE49-F238E27FC236}">
              <a16:creationId xmlns:a16="http://schemas.microsoft.com/office/drawing/2014/main" id="{00000000-0008-0000-0100-000014010000}"/>
            </a:ext>
          </a:extLst>
        </xdr:cNvPr>
        <xdr:cNvSpPr/>
      </xdr:nvSpPr>
      <xdr:spPr>
        <a:xfrm>
          <a:off x="121920" y="6223254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76200</xdr:colOff>
      <xdr:row>249</xdr:row>
      <xdr:rowOff>167640</xdr:rowOff>
    </xdr:from>
    <xdr:to>
      <xdr:col>3</xdr:col>
      <xdr:colOff>464820</xdr:colOff>
      <xdr:row>250</xdr:row>
      <xdr:rowOff>76200</xdr:rowOff>
    </xdr:to>
    <xdr:sp macro="" textlink="">
      <xdr:nvSpPr>
        <xdr:cNvPr id="277" name="Rectangle: Rounded Corners 276">
          <a:extLst>
            <a:ext uri="{FF2B5EF4-FFF2-40B4-BE49-F238E27FC236}">
              <a16:creationId xmlns:a16="http://schemas.microsoft.com/office/drawing/2014/main" id="{00000000-0008-0000-0100-000015010000}"/>
            </a:ext>
          </a:extLst>
        </xdr:cNvPr>
        <xdr:cNvSpPr/>
      </xdr:nvSpPr>
      <xdr:spPr>
        <a:xfrm>
          <a:off x="693420" y="6186678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7620</xdr:colOff>
      <xdr:row>251</xdr:row>
      <xdr:rowOff>220980</xdr:rowOff>
    </xdr:from>
    <xdr:to>
      <xdr:col>2</xdr:col>
      <xdr:colOff>396240</xdr:colOff>
      <xdr:row>252</xdr:row>
      <xdr:rowOff>129540</xdr:rowOff>
    </xdr:to>
    <xdr:sp macro="" textlink="">
      <xdr:nvSpPr>
        <xdr:cNvPr id="278" name="Rectangle: Rounded Corners 277">
          <a:extLst>
            <a:ext uri="{FF2B5EF4-FFF2-40B4-BE49-F238E27FC236}">
              <a16:creationId xmlns:a16="http://schemas.microsoft.com/office/drawing/2014/main" id="{00000000-0008-0000-0100-000016010000}"/>
            </a:ext>
          </a:extLst>
        </xdr:cNvPr>
        <xdr:cNvSpPr/>
      </xdr:nvSpPr>
      <xdr:spPr>
        <a:xfrm>
          <a:off x="121920" y="6242304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91440</xdr:colOff>
      <xdr:row>249</xdr:row>
      <xdr:rowOff>160020</xdr:rowOff>
    </xdr:from>
    <xdr:to>
      <xdr:col>7</xdr:col>
      <xdr:colOff>411480</xdr:colOff>
      <xdr:row>250</xdr:row>
      <xdr:rowOff>68580</xdr:rowOff>
    </xdr:to>
    <xdr:sp macro="" textlink="">
      <xdr:nvSpPr>
        <xdr:cNvPr id="279" name="Rectangle: Rounded Corners 278">
          <a:extLst>
            <a:ext uri="{FF2B5EF4-FFF2-40B4-BE49-F238E27FC236}">
              <a16:creationId xmlns:a16="http://schemas.microsoft.com/office/drawing/2014/main" id="{00000000-0008-0000-0100-000017010000}"/>
            </a:ext>
          </a:extLst>
        </xdr:cNvPr>
        <xdr:cNvSpPr/>
      </xdr:nvSpPr>
      <xdr:spPr>
        <a:xfrm>
          <a:off x="2720340" y="6185916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14</xdr:col>
      <xdr:colOff>0</xdr:colOff>
      <xdr:row>17</xdr:row>
      <xdr:rowOff>7620</xdr:rowOff>
    </xdr:from>
    <xdr:to>
      <xdr:col>14</xdr:col>
      <xdr:colOff>0</xdr:colOff>
      <xdr:row>23</xdr:row>
      <xdr:rowOff>0</xdr:rowOff>
    </xdr:to>
    <xdr:grpSp>
      <xdr:nvGrpSpPr>
        <xdr:cNvPr id="3" name="Group 2" hidden="1">
          <a:extLst>
            <a:ext uri="{FF2B5EF4-FFF2-40B4-BE49-F238E27FC236}">
              <a16:creationId xmlns:a16="http://schemas.microsoft.com/office/drawing/2014/main" id="{00000000-0008-0000-0000-000003000000}"/>
            </a:ext>
          </a:extLst>
        </xdr:cNvPr>
        <xdr:cNvGrpSpPr/>
      </xdr:nvGrpSpPr>
      <xdr:grpSpPr>
        <a:xfrm>
          <a:off x="6263640" y="6416040"/>
          <a:ext cx="0" cy="2400300"/>
          <a:chOff x="7787640" y="586740"/>
          <a:chExt cx="2983245" cy="922020"/>
        </a:xfrm>
      </xdr:grpSpPr>
      <xdr:sp macro="" textlink="">
        <xdr:nvSpPr>
          <xdr:cNvPr id="4" name="Speech Bubble: Rectangle with Corners Rounded 3">
            <a:extLst>
              <a:ext uri="{FF2B5EF4-FFF2-40B4-BE49-F238E27FC236}">
                <a16:creationId xmlns:a16="http://schemas.microsoft.com/office/drawing/2014/main" id="{00000000-0008-0000-0000-000004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 name="Speech Bubble: Rectangle with Corners Rounded 4">
            <a:extLst>
              <a:ext uri="{FF2B5EF4-FFF2-40B4-BE49-F238E27FC236}">
                <a16:creationId xmlns:a16="http://schemas.microsoft.com/office/drawing/2014/main" id="{00000000-0008-0000-0000-000005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3</xdr:row>
      <xdr:rowOff>525460</xdr:rowOff>
    </xdr:from>
    <xdr:to>
      <xdr:col>26</xdr:col>
      <xdr:colOff>24997</xdr:colOff>
      <xdr:row>5</xdr:row>
      <xdr:rowOff>16263</xdr:rowOff>
    </xdr:to>
    <xdr:sp macro="" textlink="">
      <xdr:nvSpPr>
        <xdr:cNvPr id="6" name="Arrow: Left 5" hidden="1">
          <a:extLst>
            <a:ext uri="{FF2B5EF4-FFF2-40B4-BE49-F238E27FC236}">
              <a16:creationId xmlns:a16="http://schemas.microsoft.com/office/drawing/2014/main" id="{00000000-0008-0000-0000-000006000000}"/>
            </a:ext>
          </a:extLst>
        </xdr:cNvPr>
        <xdr:cNvSpPr>
          <a:spLocks noChangeAspect="1"/>
        </xdr:cNvSpPr>
      </xdr:nvSpPr>
      <xdr:spPr>
        <a:xfrm rot="4020000">
          <a:off x="6064848" y="1653892"/>
          <a:ext cx="397583" cy="0"/>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196</xdr:row>
      <xdr:rowOff>8467</xdr:rowOff>
    </xdr:from>
    <xdr:to>
      <xdr:col>56</xdr:col>
      <xdr:colOff>453721</xdr:colOff>
      <xdr:row>201</xdr:row>
      <xdr:rowOff>258811</xdr:rowOff>
    </xdr:to>
    <xdr:pic>
      <xdr:nvPicPr>
        <xdr:cNvPr id="7" name="Picture 6" hidden="1">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263640" y="38878087"/>
          <a:ext cx="6047584" cy="1507029"/>
        </a:xfrm>
        <a:prstGeom prst="rect">
          <a:avLst/>
        </a:prstGeom>
      </xdr:spPr>
    </xdr:pic>
    <xdr:clientData/>
  </xdr:twoCellAnchor>
  <xdr:twoCellAnchor>
    <xdr:from>
      <xdr:col>0</xdr:col>
      <xdr:colOff>0</xdr:colOff>
      <xdr:row>100</xdr:row>
      <xdr:rowOff>378322</xdr:rowOff>
    </xdr:from>
    <xdr:to>
      <xdr:col>0</xdr:col>
      <xdr:colOff>0</xdr:colOff>
      <xdr:row>110</xdr:row>
      <xdr:rowOff>152396</xdr:rowOff>
    </xdr:to>
    <xdr:sp macro="" textlink="">
      <xdr:nvSpPr>
        <xdr:cNvPr id="8" name="TextBox 7">
          <a:extLst>
            <a:ext uri="{FF2B5EF4-FFF2-40B4-BE49-F238E27FC236}">
              <a16:creationId xmlns:a16="http://schemas.microsoft.com/office/drawing/2014/main" id="{00000000-0008-0000-0000-000008000000}"/>
            </a:ext>
          </a:extLst>
        </xdr:cNvPr>
        <xdr:cNvSpPr txBox="1"/>
      </xdr:nvSpPr>
      <xdr:spPr>
        <a:xfrm>
          <a:off x="0" y="27779842"/>
          <a:ext cx="0" cy="18390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400" b="1">
              <a:solidFill>
                <a:srgbClr val="2D143C"/>
              </a:solidFill>
              <a:effectLst/>
              <a:latin typeface="Arial" panose="020B0604020202020204" pitchFamily="34" charset="0"/>
              <a:ea typeface="+mn-ea"/>
              <a:cs typeface="Arial" panose="020B0604020202020204" pitchFamily="34" charset="0"/>
            </a:rPr>
            <a:t>How do you</a:t>
          </a:r>
          <a:r>
            <a:rPr lang="en-US" sz="1400" b="1" baseline="0">
              <a:solidFill>
                <a:srgbClr val="2D143C"/>
              </a:solidFill>
              <a:effectLst/>
              <a:latin typeface="Arial" panose="020B0604020202020204" pitchFamily="34" charset="0"/>
              <a:ea typeface="+mn-ea"/>
              <a:cs typeface="Arial" panose="020B0604020202020204" pitchFamily="34" charset="0"/>
            </a:rPr>
            <a:t> answer if checked for sneezing in public?</a:t>
          </a:r>
          <a:endParaRPr lang="en-US" sz="1400" b="1">
            <a:solidFill>
              <a:srgbClr val="2D143C"/>
            </a:solidFill>
            <a:latin typeface="Arial" panose="020B0604020202020204" pitchFamily="34" charset="0"/>
            <a:cs typeface="Arial" panose="020B0604020202020204" pitchFamily="34" charset="0"/>
          </a:endParaRPr>
        </a:p>
      </xdr:txBody>
    </xdr:sp>
    <xdr:clientData/>
  </xdr:twoCellAnchor>
  <xdr:twoCellAnchor>
    <xdr:from>
      <xdr:col>9</xdr:col>
      <xdr:colOff>468455</xdr:colOff>
      <xdr:row>52</xdr:row>
      <xdr:rowOff>22860</xdr:rowOff>
    </xdr:from>
    <xdr:to>
      <xdr:col>12</xdr:col>
      <xdr:colOff>501876</xdr:colOff>
      <xdr:row>53</xdr:row>
      <xdr:rowOff>97772</xdr:rowOff>
    </xdr:to>
    <xdr:sp macro="" textlink="">
      <xdr:nvSpPr>
        <xdr:cNvPr id="10" name="Arrow: Left 9">
          <a:hlinkClick xmlns:r="http://schemas.openxmlformats.org/officeDocument/2006/relationships" r:id="rId2" tooltip="back to Harmony Politics tab"/>
          <a:extLst>
            <a:ext uri="{FF2B5EF4-FFF2-40B4-BE49-F238E27FC236}">
              <a16:creationId xmlns:a16="http://schemas.microsoft.com/office/drawing/2014/main" id="{00000000-0008-0000-0000-00000A000000}"/>
            </a:ext>
          </a:extLst>
        </xdr:cNvPr>
        <xdr:cNvSpPr/>
      </xdr:nvSpPr>
      <xdr:spPr>
        <a:xfrm>
          <a:off x="4606115" y="16695420"/>
          <a:ext cx="1542181" cy="196832"/>
        </a:xfrm>
        <a:prstGeom prst="leftArrow">
          <a:avLst>
            <a:gd name="adj1" fmla="val 100000"/>
            <a:gd name="adj2" fmla="val 91861"/>
          </a:avLst>
        </a:prstGeom>
        <a:solidFill>
          <a:srgbClr val="FF99FF"/>
        </a:solidFill>
        <a:ln>
          <a:solidFill>
            <a:srgbClr val="FF99FF"/>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baseline="0"/>
            <a:t> to HP tab</a:t>
          </a:r>
          <a:endParaRPr lang="en-US" sz="1200" b="1"/>
        </a:p>
      </xdr:txBody>
    </xdr:sp>
    <xdr:clientData/>
  </xdr:twoCellAnchor>
  <xdr:twoCellAnchor>
    <xdr:from>
      <xdr:col>23</xdr:col>
      <xdr:colOff>480863</xdr:colOff>
      <xdr:row>89</xdr:row>
      <xdr:rowOff>35474</xdr:rowOff>
    </xdr:from>
    <xdr:to>
      <xdr:col>26</xdr:col>
      <xdr:colOff>500915</xdr:colOff>
      <xdr:row>89</xdr:row>
      <xdr:rowOff>322895</xdr:rowOff>
    </xdr:to>
    <xdr:sp macro="" textlink="">
      <xdr:nvSpPr>
        <xdr:cNvPr id="11" name="Arrow: Left 10">
          <a:hlinkClick xmlns:r="http://schemas.openxmlformats.org/officeDocument/2006/relationships" r:id="rId2" tooltip="back to Harmony Politics tab"/>
          <a:extLst>
            <a:ext uri="{FF2B5EF4-FFF2-40B4-BE49-F238E27FC236}">
              <a16:creationId xmlns:a16="http://schemas.microsoft.com/office/drawing/2014/main" id="{00000000-0008-0000-0000-00000B000000}"/>
            </a:ext>
          </a:extLst>
        </xdr:cNvPr>
        <xdr:cNvSpPr/>
      </xdr:nvSpPr>
      <xdr:spPr>
        <a:xfrm>
          <a:off x="6263640" y="25425314"/>
          <a:ext cx="0" cy="28742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20</xdr:col>
      <xdr:colOff>314426</xdr:colOff>
      <xdr:row>89</xdr:row>
      <xdr:rowOff>75398</xdr:rowOff>
    </xdr:from>
    <xdr:to>
      <xdr:col>23</xdr:col>
      <xdr:colOff>334478</xdr:colOff>
      <xdr:row>89</xdr:row>
      <xdr:rowOff>342899</xdr:rowOff>
    </xdr:to>
    <xdr:sp macro="" textlink="">
      <xdr:nvSpPr>
        <xdr:cNvPr id="12" name="Arrow: Left 11">
          <a:hlinkClick xmlns:r="http://schemas.openxmlformats.org/officeDocument/2006/relationships" r:id="rId3" tooltip="back to Harmony Politics tab"/>
          <a:extLst>
            <a:ext uri="{FF2B5EF4-FFF2-40B4-BE49-F238E27FC236}">
              <a16:creationId xmlns:a16="http://schemas.microsoft.com/office/drawing/2014/main" id="{00000000-0008-0000-0000-00000C000000}"/>
            </a:ext>
          </a:extLst>
        </xdr:cNvPr>
        <xdr:cNvSpPr/>
      </xdr:nvSpPr>
      <xdr:spPr>
        <a:xfrm>
          <a:off x="9206966" y="25488098"/>
          <a:ext cx="1528812" cy="26750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19</xdr:col>
      <xdr:colOff>453590</xdr:colOff>
      <xdr:row>164</xdr:row>
      <xdr:rowOff>99194</xdr:rowOff>
    </xdr:from>
    <xdr:to>
      <xdr:col>22</xdr:col>
      <xdr:colOff>473642</xdr:colOff>
      <xdr:row>164</xdr:row>
      <xdr:rowOff>295175</xdr:rowOff>
    </xdr:to>
    <xdr:sp macro="" textlink="">
      <xdr:nvSpPr>
        <xdr:cNvPr id="13" name="Arrow: Left 12">
          <a:hlinkClick xmlns:r="http://schemas.openxmlformats.org/officeDocument/2006/relationships" r:id="rId3" tooltip="back to Harmony Politics tab"/>
          <a:extLst>
            <a:ext uri="{FF2B5EF4-FFF2-40B4-BE49-F238E27FC236}">
              <a16:creationId xmlns:a16="http://schemas.microsoft.com/office/drawing/2014/main" id="{00000000-0008-0000-0000-00000D000000}"/>
            </a:ext>
          </a:extLst>
        </xdr:cNvPr>
        <xdr:cNvSpPr/>
      </xdr:nvSpPr>
      <xdr:spPr>
        <a:xfrm>
          <a:off x="8843210" y="3403105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45450</xdr:colOff>
      <xdr:row>100</xdr:row>
      <xdr:rowOff>379663</xdr:rowOff>
    </xdr:from>
    <xdr:to>
      <xdr:col>27</xdr:col>
      <xdr:colOff>118977</xdr:colOff>
      <xdr:row>101</xdr:row>
      <xdr:rowOff>98926</xdr:rowOff>
    </xdr:to>
    <xdr:sp macro="" textlink="">
      <xdr:nvSpPr>
        <xdr:cNvPr id="14" name="Right Triangle 13">
          <a:extLst>
            <a:ext uri="{FF2B5EF4-FFF2-40B4-BE49-F238E27FC236}">
              <a16:creationId xmlns:a16="http://schemas.microsoft.com/office/drawing/2014/main" id="{00000000-0008-0000-0000-00000E000000}"/>
            </a:ext>
          </a:extLst>
        </xdr:cNvPr>
        <xdr:cNvSpPr/>
      </xdr:nvSpPr>
      <xdr:spPr>
        <a:xfrm flipH="1" flipV="1">
          <a:off x="6263640" y="27781183"/>
          <a:ext cx="0"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217370</xdr:colOff>
      <xdr:row>463</xdr:row>
      <xdr:rowOff>61094</xdr:rowOff>
    </xdr:from>
    <xdr:to>
      <xdr:col>26</xdr:col>
      <xdr:colOff>237422</xdr:colOff>
      <xdr:row>464</xdr:row>
      <xdr:rowOff>5615</xdr:rowOff>
    </xdr:to>
    <xdr:sp macro="" textlink="">
      <xdr:nvSpPr>
        <xdr:cNvPr id="17" name="Arrow: Left 16">
          <a:hlinkClick xmlns:r="http://schemas.openxmlformats.org/officeDocument/2006/relationships" r:id="rId2" tooltip="back to Harmony Politics tab"/>
          <a:extLst>
            <a:ext uri="{FF2B5EF4-FFF2-40B4-BE49-F238E27FC236}">
              <a16:creationId xmlns:a16="http://schemas.microsoft.com/office/drawing/2014/main" id="{00000000-0008-0000-0000-000011000000}"/>
            </a:ext>
          </a:extLst>
        </xdr:cNvPr>
        <xdr:cNvSpPr/>
      </xdr:nvSpPr>
      <xdr:spPr>
        <a:xfrm>
          <a:off x="10618670" y="1104672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13</xdr:col>
      <xdr:colOff>44112</xdr:colOff>
      <xdr:row>475</xdr:row>
      <xdr:rowOff>378327</xdr:rowOff>
    </xdr:from>
    <xdr:to>
      <xdr:col>14</xdr:col>
      <xdr:colOff>3339</xdr:colOff>
      <xdr:row>476</xdr:row>
      <xdr:rowOff>97590</xdr:rowOff>
    </xdr:to>
    <xdr:sp macro="" textlink="">
      <xdr:nvSpPr>
        <xdr:cNvPr id="18" name="Right Triangle 17">
          <a:extLst>
            <a:ext uri="{FF2B5EF4-FFF2-40B4-BE49-F238E27FC236}">
              <a16:creationId xmlns:a16="http://schemas.microsoft.com/office/drawing/2014/main" id="{00000000-0008-0000-0000-000012000000}"/>
            </a:ext>
          </a:extLst>
        </xdr:cNvPr>
        <xdr:cNvSpPr/>
      </xdr:nvSpPr>
      <xdr:spPr>
        <a:xfrm flipH="1" flipV="1">
          <a:off x="6193452" y="53672607"/>
          <a:ext cx="70188"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27</xdr:col>
      <xdr:colOff>45449</xdr:colOff>
      <xdr:row>436</xdr:row>
      <xdr:rowOff>5348</xdr:rowOff>
    </xdr:from>
    <xdr:to>
      <xdr:col>27</xdr:col>
      <xdr:colOff>118976</xdr:colOff>
      <xdr:row>436</xdr:row>
      <xdr:rowOff>105611</xdr:rowOff>
    </xdr:to>
    <xdr:sp macro="" textlink="">
      <xdr:nvSpPr>
        <xdr:cNvPr id="24" name="Right Triangle 23">
          <a:extLst>
            <a:ext uri="{FF2B5EF4-FFF2-40B4-BE49-F238E27FC236}">
              <a16:creationId xmlns:a16="http://schemas.microsoft.com/office/drawing/2014/main" id="{00000000-0008-0000-0000-000018000000}"/>
            </a:ext>
          </a:extLst>
        </xdr:cNvPr>
        <xdr:cNvSpPr/>
      </xdr:nvSpPr>
      <xdr:spPr>
        <a:xfrm flipH="1" flipV="1">
          <a:off x="6263640" y="45740588"/>
          <a:ext cx="0"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14</xdr:col>
      <xdr:colOff>0</xdr:colOff>
      <xdr:row>1099</xdr:row>
      <xdr:rowOff>68580</xdr:rowOff>
    </xdr:from>
    <xdr:to>
      <xdr:col>31</xdr:col>
      <xdr:colOff>426579</xdr:colOff>
      <xdr:row>1110</xdr:row>
      <xdr:rowOff>167683</xdr:rowOff>
    </xdr:to>
    <xdr:grpSp>
      <xdr:nvGrpSpPr>
        <xdr:cNvPr id="28" name="Go deep &amp; connected" hidden="1">
          <a:extLst>
            <a:ext uri="{FF2B5EF4-FFF2-40B4-BE49-F238E27FC236}">
              <a16:creationId xmlns:a16="http://schemas.microsoft.com/office/drawing/2014/main" id="{00000000-0008-0000-0000-00001C000000}"/>
            </a:ext>
          </a:extLst>
        </xdr:cNvPr>
        <xdr:cNvGrpSpPr/>
      </xdr:nvGrpSpPr>
      <xdr:grpSpPr>
        <a:xfrm>
          <a:off x="6263640" y="257335020"/>
          <a:ext cx="1760079" cy="2026963"/>
          <a:chOff x="7955333" y="71879460"/>
          <a:chExt cx="6575866" cy="2026963"/>
        </a:xfrm>
      </xdr:grpSpPr>
      <xdr:grpSp>
        <xdr:nvGrpSpPr>
          <xdr:cNvPr id="29" name="Group 28">
            <a:extLst>
              <a:ext uri="{FF2B5EF4-FFF2-40B4-BE49-F238E27FC236}">
                <a16:creationId xmlns:a16="http://schemas.microsoft.com/office/drawing/2014/main" id="{00000000-0008-0000-0000-00001D000000}"/>
              </a:ext>
            </a:extLst>
          </xdr:cNvPr>
          <xdr:cNvGrpSpPr/>
        </xdr:nvGrpSpPr>
        <xdr:grpSpPr>
          <a:xfrm>
            <a:off x="8039100" y="72069956"/>
            <a:ext cx="6400800" cy="1836467"/>
            <a:chOff x="8039100" y="72073619"/>
            <a:chExt cx="4572000" cy="948841"/>
          </a:xfrm>
        </xdr:grpSpPr>
        <xdr:sp macro="" textlink="">
          <xdr:nvSpPr>
            <xdr:cNvPr id="35" name="Rectangle: Top Corners Rounded 34">
              <a:extLst>
                <a:ext uri="{FF2B5EF4-FFF2-40B4-BE49-F238E27FC236}">
                  <a16:creationId xmlns:a16="http://schemas.microsoft.com/office/drawing/2014/main" id="{00000000-0008-0000-0000-000023000000}"/>
                </a:ext>
              </a:extLst>
            </xdr:cNvPr>
            <xdr:cNvSpPr/>
          </xdr:nvSpPr>
          <xdr:spPr>
            <a:xfrm flipV="1">
              <a:off x="8039100" y="72108060"/>
              <a:ext cx="4572000" cy="91440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36" name="Rectangle 35">
              <a:extLst>
                <a:ext uri="{FF2B5EF4-FFF2-40B4-BE49-F238E27FC236}">
                  <a16:creationId xmlns:a16="http://schemas.microsoft.com/office/drawing/2014/main" id="{00000000-0008-0000-0000-000024000000}"/>
                </a:ext>
              </a:extLst>
            </xdr:cNvPr>
            <xdr:cNvSpPr/>
          </xdr:nvSpPr>
          <xdr:spPr>
            <a:xfrm>
              <a:off x="8058694" y="72073619"/>
              <a:ext cx="4532811" cy="1220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30" name="Arrow: Left-Right 29">
            <a:extLst>
              <a:ext uri="{FF2B5EF4-FFF2-40B4-BE49-F238E27FC236}">
                <a16:creationId xmlns:a16="http://schemas.microsoft.com/office/drawing/2014/main" id="{00000000-0008-0000-0000-00001E000000}"/>
              </a:ext>
            </a:extLst>
          </xdr:cNvPr>
          <xdr:cNvSpPr/>
        </xdr:nvSpPr>
        <xdr:spPr>
          <a:xfrm>
            <a:off x="8176260" y="72085200"/>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FF5050"/>
              </a:gs>
              <a:gs pos="100000">
                <a:srgbClr val="FF5050"/>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18288" rIns="0" bIns="0" rtlCol="0" anchor="t"/>
          <a:lstStyle/>
          <a:p>
            <a:pPr algn="ctr"/>
            <a:r>
              <a:rPr lang="en-US" sz="1100" b="1">
                <a:solidFill>
                  <a:schemeClr val="bg1"/>
                </a:solidFill>
                <a:latin typeface="Arial Narrow" panose="020B0606020202030204" pitchFamily="34" charset="0"/>
              </a:rPr>
              <a:t>The agree-disagree</a:t>
            </a:r>
            <a:r>
              <a:rPr lang="en-US" sz="1100" b="1" baseline="0">
                <a:solidFill>
                  <a:schemeClr val="bg1"/>
                </a:solidFill>
                <a:latin typeface="Arial Narrow" panose="020B0606020202030204" pitchFamily="34" charset="0"/>
              </a:rPr>
              <a:t> binary correlates more with pain-easing vacillation than need-resolving integration</a:t>
            </a:r>
            <a:endParaRPr lang="en-US" sz="1100" b="1">
              <a:solidFill>
                <a:schemeClr val="bg1"/>
              </a:solidFill>
              <a:latin typeface="Arial Narrow" panose="020B0606020202030204" pitchFamily="34" charset="0"/>
            </a:endParaRPr>
          </a:p>
        </xdr:txBody>
      </xdr:sp>
      <xdr:sp macro="" textlink="">
        <xdr:nvSpPr>
          <xdr:cNvPr id="31" name="TextBox 30">
            <a:extLst>
              <a:ext uri="{FF2B5EF4-FFF2-40B4-BE49-F238E27FC236}">
                <a16:creationId xmlns:a16="http://schemas.microsoft.com/office/drawing/2014/main" id="{00000000-0008-0000-0000-00001F000000}"/>
              </a:ext>
            </a:extLst>
          </xdr:cNvPr>
          <xdr:cNvSpPr txBox="1"/>
        </xdr:nvSpPr>
        <xdr:spPr>
          <a:xfrm>
            <a:off x="8450580" y="71879460"/>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8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32" name="TextBox 31">
            <a:extLst>
              <a:ext uri="{FF2B5EF4-FFF2-40B4-BE49-F238E27FC236}">
                <a16:creationId xmlns:a16="http://schemas.microsoft.com/office/drawing/2014/main" id="{00000000-0008-0000-0000-000020000000}"/>
              </a:ext>
            </a:extLst>
          </xdr:cNvPr>
          <xdr:cNvSpPr txBox="1"/>
        </xdr:nvSpPr>
        <xdr:spPr>
          <a:xfrm>
            <a:off x="8061960" y="73533000"/>
            <a:ext cx="636270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000" b="1">
                <a:ln>
                  <a:solidFill>
                    <a:srgbClr val="1EFF7D"/>
                  </a:solidFill>
                </a:ln>
                <a:solidFill>
                  <a:srgbClr val="1EFF7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sp macro="" textlink="">
        <xdr:nvSpPr>
          <xdr:cNvPr id="33" name="Arrow: Right 32">
            <a:extLst>
              <a:ext uri="{FF2B5EF4-FFF2-40B4-BE49-F238E27FC236}">
                <a16:creationId xmlns:a16="http://schemas.microsoft.com/office/drawing/2014/main" id="{00000000-0008-0000-0000-000021000000}"/>
              </a:ext>
            </a:extLst>
          </xdr:cNvPr>
          <xdr:cNvSpPr/>
        </xdr:nvSpPr>
        <xdr:spPr>
          <a:xfrm rot="1118158">
            <a:off x="7955333" y="72812616"/>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34" name="Arrow: Right 33">
            <a:extLst>
              <a:ext uri="{FF2B5EF4-FFF2-40B4-BE49-F238E27FC236}">
                <a16:creationId xmlns:a16="http://schemas.microsoft.com/office/drawing/2014/main" id="{00000000-0008-0000-0000-000022000000}"/>
              </a:ext>
            </a:extLst>
          </xdr:cNvPr>
          <xdr:cNvSpPr/>
        </xdr:nvSpPr>
        <xdr:spPr>
          <a:xfrm rot="20481842" flipH="1">
            <a:off x="11193639" y="72814412"/>
            <a:ext cx="3337560" cy="411480"/>
          </a:xfrm>
          <a:prstGeom prst="rightArrow">
            <a:avLst>
              <a:gd name="adj1" fmla="val 50000"/>
              <a:gd name="adj2" fmla="val 105556"/>
            </a:avLst>
          </a:prstGeom>
          <a:gradFill>
            <a:gsLst>
              <a:gs pos="50000">
                <a:srgbClr val="D9038B"/>
              </a:gs>
              <a:gs pos="0">
                <a:srgbClr val="FF0000"/>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a:latin typeface="Arial Narrow" panose="020B0606020202030204" pitchFamily="34" charset="0"/>
              </a:rPr>
              <a:t>identify</a:t>
            </a:r>
            <a:r>
              <a:rPr lang="en-US" sz="1100" b="1" baseline="0">
                <a:latin typeface="Arial Narrow" panose="020B0606020202030204" pitchFamily="34" charset="0"/>
              </a:rPr>
              <a:t> and address conservative prioritized needs</a:t>
            </a:r>
            <a:endParaRPr lang="en-US" sz="1100" b="1">
              <a:latin typeface="Arial Narrow" panose="020B0606020202030204" pitchFamily="34" charset="0"/>
            </a:endParaRPr>
          </a:p>
        </xdr:txBody>
      </xdr:sp>
    </xdr:grpSp>
    <xdr:clientData/>
  </xdr:twoCellAnchor>
  <xdr:twoCellAnchor>
    <xdr:from>
      <xdr:col>0</xdr:col>
      <xdr:colOff>62843</xdr:colOff>
      <xdr:row>92</xdr:row>
      <xdr:rowOff>127844</xdr:rowOff>
    </xdr:from>
    <xdr:to>
      <xdr:col>13</xdr:col>
      <xdr:colOff>39983</xdr:colOff>
      <xdr:row>111</xdr:row>
      <xdr:rowOff>213360</xdr:rowOff>
    </xdr:to>
    <xdr:sp macro="" textlink="">
      <xdr:nvSpPr>
        <xdr:cNvPr id="38" name="TextBox 37">
          <a:extLst>
            <a:ext uri="{FF2B5EF4-FFF2-40B4-BE49-F238E27FC236}">
              <a16:creationId xmlns:a16="http://schemas.microsoft.com/office/drawing/2014/main" id="{00000000-0008-0000-0000-000026000000}"/>
            </a:ext>
          </a:extLst>
        </xdr:cNvPr>
        <xdr:cNvSpPr txBox="1"/>
      </xdr:nvSpPr>
      <xdr:spPr>
        <a:xfrm>
          <a:off x="62843" y="26173004"/>
          <a:ext cx="6126480" cy="4177456"/>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ts val="1500"/>
            </a:lnSpc>
            <a:spcBef>
              <a:spcPts val="0"/>
            </a:spcBef>
            <a:spcAft>
              <a:spcPts val="0"/>
            </a:spcAft>
            <a:buClrTx/>
            <a:buSzTx/>
            <a:buFontTx/>
            <a:buNone/>
            <a:tabLst/>
            <a:defRPr/>
          </a:pPr>
          <a:r>
            <a:rPr lang="en-US" sz="1300" b="1" spc="-10" baseline="0">
              <a:solidFill>
                <a:schemeClr val="dk1"/>
              </a:solidFill>
              <a:latin typeface="Tahoma" panose="020B0604030504040204" pitchFamily="34" charset="0"/>
              <a:ea typeface="Tahoma" panose="020B0604030504040204" pitchFamily="34" charset="0"/>
              <a:cs typeface="Tahoma" panose="020B0604030504040204" pitchFamily="34" charset="0"/>
            </a:rPr>
            <a:t>Politics</a:t>
          </a:r>
          <a:r>
            <a:rPr lang="en-US" sz="1300" b="1" spc="-10" baseline="0">
              <a:solidFill>
                <a:schemeClr val="dk1"/>
              </a:solidFill>
              <a:latin typeface="Cambria" panose="02040503050406030204" pitchFamily="18" charset="0"/>
              <a:ea typeface="Cambria" panose="02040503050406030204" pitchFamily="18" charset="0"/>
              <a:cs typeface="+mn-cs"/>
            </a:rPr>
            <a:t> </a:t>
          </a:r>
          <a:r>
            <a:rPr lang="en-US" sz="1300" spc="-20" baseline="0">
              <a:solidFill>
                <a:schemeClr val="dk1"/>
              </a:solidFill>
              <a:latin typeface="Cambria" panose="02040503050406030204" pitchFamily="18" charset="0"/>
              <a:ea typeface="Cambria" panose="02040503050406030204" pitchFamily="18" charset="0"/>
              <a:cs typeface="+mn-cs"/>
            </a:rPr>
            <a:t>is the art of generalizing how to agreeably address publicly impacted needs. Two items stand out here: generalizing and need. If your impacted </a:t>
          </a:r>
          <a:r>
            <a:rPr lang="en-US" sz="1300" i="1" spc="-20" baseline="0">
              <a:solidFill>
                <a:schemeClr val="dk1"/>
              </a:solidFill>
              <a:latin typeface="Cambria" panose="02040503050406030204" pitchFamily="18" charset="0"/>
              <a:ea typeface="Cambria" panose="02040503050406030204" pitchFamily="18" charset="0"/>
              <a:cs typeface="+mn-cs"/>
            </a:rPr>
            <a:t>needs</a:t>
          </a:r>
          <a:r>
            <a:rPr lang="en-US" sz="1300" spc="-20" baseline="0">
              <a:solidFill>
                <a:schemeClr val="dk1"/>
              </a:solidFill>
              <a:latin typeface="Cambria" panose="02040503050406030204" pitchFamily="18" charset="0"/>
              <a:ea typeface="Cambria" panose="02040503050406030204" pitchFamily="18" charset="0"/>
              <a:cs typeface="+mn-cs"/>
            </a:rPr>
            <a:t> are opposite to the impacted needs of others, you </a:t>
          </a:r>
          <a:r>
            <a:rPr lang="en-US" sz="1300" i="1" spc="-20" baseline="0">
              <a:solidFill>
                <a:schemeClr val="dk1"/>
              </a:solidFill>
              <a:latin typeface="Cambria" panose="02040503050406030204" pitchFamily="18" charset="0"/>
              <a:ea typeface="Cambria" panose="02040503050406030204" pitchFamily="18" charset="0"/>
              <a:cs typeface="+mn-cs"/>
            </a:rPr>
            <a:t>generalize</a:t>
          </a:r>
          <a:r>
            <a:rPr lang="en-US" sz="1300" spc="-20" baseline="0">
              <a:solidFill>
                <a:schemeClr val="dk1"/>
              </a:solidFill>
              <a:latin typeface="Cambria" panose="02040503050406030204" pitchFamily="18" charset="0"/>
              <a:ea typeface="Cambria" panose="02040503050406030204" pitchFamily="18" charset="0"/>
              <a:cs typeface="+mn-cs"/>
            </a:rPr>
            <a:t> an oppositive priority to relieve such needs. Your different priority of needs gives birth to your political differences.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Liberal? </a:t>
          </a:r>
          <a:r>
            <a:rPr lang="en-US" sz="1200" baseline="0">
              <a:solidFill>
                <a:schemeClr val="dk1"/>
              </a:solidFill>
              <a:latin typeface="Cambria" panose="02040503050406030204" pitchFamily="18" charset="0"/>
              <a:ea typeface="Cambria" panose="02040503050406030204" pitchFamily="18" charset="0"/>
              <a:cs typeface="+mn-cs"/>
            </a:rPr>
            <a:t>If the public impacts your social-needs more than your self-needs, you gravitate toward liberal politics for relief. If your social-need for societal inclusion outweighs your self-need for personal initiative, for example, you will find more comforting support among similarly situated liberals.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Conservative? </a:t>
          </a:r>
          <a:r>
            <a:rPr lang="en-US" sz="1200" baseline="0">
              <a:solidFill>
                <a:schemeClr val="dk1"/>
              </a:solidFill>
              <a:latin typeface="Cambria" panose="02040503050406030204" pitchFamily="18" charset="0"/>
              <a:ea typeface="Cambria" panose="02040503050406030204" pitchFamily="18" charset="0"/>
              <a:cs typeface="+mn-cs"/>
            </a:rPr>
            <a:t>If the public impacts your self-needs more than your social-needs,  you gravitate toward conservative politics for relief. If your self-need for personal initiative outweighs your need for societal inclusion, for example, you will find more comforting support among similarly situated conservatives.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eaLnBrk="1" fontAlgn="auto" latinLnBrk="0" hangingPunct="1">
            <a:lnSpc>
              <a:spcPts val="1440"/>
            </a:lnSpc>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Which is better? </a:t>
          </a:r>
          <a:r>
            <a:rPr lang="en-US" sz="1200" baseline="0">
              <a:solidFill>
                <a:schemeClr val="dk1"/>
              </a:solidFill>
              <a:latin typeface="Cambria" panose="02040503050406030204" pitchFamily="18" charset="0"/>
              <a:ea typeface="Cambria" panose="02040503050406030204" pitchFamily="18" charset="0"/>
              <a:cs typeface="+mn-cs"/>
            </a:rPr>
            <a:t>Neither. We can disagree on what we should do about such needs. It is pointless to dispute the needs themselves. We typically cannot change what we inflexibly need. We can decide to shift from generalizing to specifics. </a:t>
          </a:r>
          <a:r>
            <a:rPr lang="en-US" sz="1200" baseline="0">
              <a:ln>
                <a:solidFill>
                  <a:srgbClr val="00823C"/>
                </a:solidFill>
              </a:ln>
              <a:solidFill>
                <a:schemeClr val="dk1"/>
              </a:solidFill>
              <a:latin typeface="Cambria" panose="02040503050406030204" pitchFamily="18" charset="0"/>
              <a:ea typeface="Cambria" panose="02040503050406030204" pitchFamily="18" charset="0"/>
              <a:cs typeface="+mn-cs"/>
            </a:rPr>
            <a:t>Harmony</a:t>
          </a:r>
          <a:r>
            <a:rPr lang="en-US" sz="1200" baseline="0">
              <a:ln>
                <a:solidFill>
                  <a:srgbClr val="1E5A28"/>
                </a:solidFill>
              </a:ln>
              <a:solidFill>
                <a:schemeClr val="dk1"/>
              </a:solidFill>
              <a:latin typeface="Cambria" panose="02040503050406030204" pitchFamily="18" charset="0"/>
              <a:ea typeface="Cambria" panose="02040503050406030204" pitchFamily="18" charset="0"/>
              <a:cs typeface="+mn-cs"/>
            </a:rPr>
            <a:t> </a:t>
          </a:r>
          <a:r>
            <a:rPr lang="en-US" sz="1200" baseline="0">
              <a:ln>
                <a:solidFill>
                  <a:srgbClr val="780091"/>
                </a:solidFill>
              </a:ln>
              <a:solidFill>
                <a:schemeClr val="dk1"/>
              </a:solidFill>
              <a:latin typeface="Cambria" panose="02040503050406030204" pitchFamily="18" charset="0"/>
              <a:ea typeface="Cambria" panose="02040503050406030204" pitchFamily="18" charset="0"/>
              <a:cs typeface="+mn-cs"/>
            </a:rPr>
            <a:t>Politics</a:t>
          </a:r>
          <a:r>
            <a:rPr lang="en-US" sz="1200" baseline="0">
              <a:solidFill>
                <a:schemeClr val="dk1"/>
              </a:solidFill>
              <a:latin typeface="Cambria" panose="02040503050406030204" pitchFamily="18" charset="0"/>
              <a:ea typeface="Cambria" panose="02040503050406030204" pitchFamily="18" charset="0"/>
              <a:cs typeface="+mn-cs"/>
            </a:rPr>
            <a:t> leads the way.</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Which best fits you? </a:t>
          </a:r>
          <a:r>
            <a:rPr lang="en-US" sz="1200" baseline="0">
              <a:solidFill>
                <a:schemeClr val="dk1"/>
              </a:solidFill>
              <a:latin typeface="Cambria" panose="02040503050406030204" pitchFamily="18" charset="0"/>
              <a:ea typeface="Cambria" panose="02040503050406030204" pitchFamily="18" charset="0"/>
              <a:cs typeface="+mn-cs"/>
            </a:rPr>
            <a:t>Use the dropdown menus below. First, pick the politial outlook that best fits you. Or use the eight-item sorter below. Then select one of the 12 hot button political issues in the next dropdown menu.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Or </a:t>
          </a:r>
        </a:p>
      </xdr:txBody>
    </xdr:sp>
    <xdr:clientData/>
  </xdr:twoCellAnchor>
  <xdr:twoCellAnchor>
    <xdr:from>
      <xdr:col>44</xdr:col>
      <xdr:colOff>243840</xdr:colOff>
      <xdr:row>1302</xdr:row>
      <xdr:rowOff>0</xdr:rowOff>
    </xdr:from>
    <xdr:to>
      <xdr:col>46</xdr:col>
      <xdr:colOff>215900</xdr:colOff>
      <xdr:row>1314</xdr:row>
      <xdr:rowOff>22860</xdr:rowOff>
    </xdr:to>
    <xdr:sp macro="" textlink="">
      <xdr:nvSpPr>
        <xdr:cNvPr id="44" name="Text Box 2">
          <a:extLst>
            <a:ext uri="{FF2B5EF4-FFF2-40B4-BE49-F238E27FC236}">
              <a16:creationId xmlns:a16="http://schemas.microsoft.com/office/drawing/2014/main" id="{00000000-0008-0000-0000-00002C000000}"/>
            </a:ext>
          </a:extLst>
        </xdr:cNvPr>
        <xdr:cNvSpPr txBox="1"/>
      </xdr:nvSpPr>
      <xdr:spPr>
        <a:xfrm>
          <a:off x="26426160" y="236456220"/>
          <a:ext cx="0" cy="0"/>
        </a:xfrm>
        <a:prstGeom prst="rect">
          <a:avLst/>
        </a:prstGeom>
        <a:solidFill>
          <a:srgbClr val="B905FF"/>
        </a:solidFill>
        <a:ln w="6350">
          <a:solidFill>
            <a:srgbClr val="F0CD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Immigration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Climate change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Gun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Abortion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Healthcare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Criminal justice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Economy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Racism</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Police brutality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Voting fairness</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Covid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Free speech</a:t>
          </a:r>
        </a:p>
      </xdr:txBody>
    </xdr:sp>
    <xdr:clientData/>
  </xdr:twoCellAnchor>
  <xdr:twoCellAnchor>
    <xdr:from>
      <xdr:col>33</xdr:col>
      <xdr:colOff>75604</xdr:colOff>
      <xdr:row>1268</xdr:row>
      <xdr:rowOff>0</xdr:rowOff>
    </xdr:from>
    <xdr:to>
      <xdr:col>34</xdr:col>
      <xdr:colOff>0</xdr:colOff>
      <xdr:row>1268</xdr:row>
      <xdr:rowOff>0</xdr:rowOff>
    </xdr:to>
    <xdr:grpSp>
      <xdr:nvGrpSpPr>
        <xdr:cNvPr id="45" name="Group 44">
          <a:extLst>
            <a:ext uri="{FF2B5EF4-FFF2-40B4-BE49-F238E27FC236}">
              <a16:creationId xmlns:a16="http://schemas.microsoft.com/office/drawing/2014/main" id="{00000000-0008-0000-0000-00002D000000}"/>
            </a:ext>
          </a:extLst>
        </xdr:cNvPr>
        <xdr:cNvGrpSpPr/>
      </xdr:nvGrpSpPr>
      <xdr:grpSpPr>
        <a:xfrm>
          <a:off x="8891944" y="285315660"/>
          <a:ext cx="533996" cy="0"/>
          <a:chOff x="15125700" y="211576920"/>
          <a:chExt cx="1112520" cy="611289"/>
        </a:xfrm>
      </xdr:grpSpPr>
      <xdr:sp macro="" textlink="">
        <xdr:nvSpPr>
          <xdr:cNvPr id="46" name="Arrow: Down 45">
            <a:extLst>
              <a:ext uri="{FF2B5EF4-FFF2-40B4-BE49-F238E27FC236}">
                <a16:creationId xmlns:a16="http://schemas.microsoft.com/office/drawing/2014/main" id="{00000000-0008-0000-0000-00002E000000}"/>
              </a:ext>
            </a:extLst>
          </xdr:cNvPr>
          <xdr:cNvSpPr/>
        </xdr:nvSpPr>
        <xdr:spPr>
          <a:xfrm>
            <a:off x="15125700" y="211576920"/>
            <a:ext cx="1112520" cy="541020"/>
          </a:xfrm>
          <a:prstGeom prst="downArrow">
            <a:avLst>
              <a:gd name="adj1" fmla="val 92466"/>
              <a:gd name="adj2" fmla="val 23239"/>
            </a:avLst>
          </a:prstGeom>
          <a:solidFill>
            <a:srgbClr val="00823C"/>
          </a:solidFill>
          <a:ln>
            <a:solidFill>
              <a:srgbClr val="1EFF7D"/>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0" rtlCol="0" anchor="ctr"/>
          <a:lstStyle/>
          <a:p>
            <a:pPr algn="ctr"/>
            <a:r>
              <a:rPr lang="en-US" sz="1000" b="1">
                <a:latin typeface="Arial Narrow" panose="020B0606020202030204" pitchFamily="34" charset="0"/>
              </a:rPr>
              <a:t>IT STARTS HERE WITH NEEDS</a:t>
            </a:r>
          </a:p>
        </xdr:txBody>
      </xdr:sp>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4"/>
          <a:srcRect l="15419" t="6369" r="8472"/>
          <a:stretch/>
        </xdr:blipFill>
        <xdr:spPr>
          <a:xfrm>
            <a:off x="15148560" y="211886902"/>
            <a:ext cx="297180" cy="301307"/>
          </a:xfrm>
          <a:prstGeom prst="rect">
            <a:avLst/>
          </a:prstGeom>
        </xdr:spPr>
      </xdr:pic>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rotWithShape="1">
          <a:blip xmlns:r="http://schemas.openxmlformats.org/officeDocument/2006/relationships" r:embed="rId5"/>
          <a:srcRect l="10918" t="3776" r="6634"/>
          <a:stretch/>
        </xdr:blipFill>
        <xdr:spPr>
          <a:xfrm>
            <a:off x="15946334" y="211872140"/>
            <a:ext cx="269025" cy="313031"/>
          </a:xfrm>
          <a:prstGeom prst="rect">
            <a:avLst/>
          </a:prstGeom>
        </xdr:spPr>
      </xdr:pic>
    </xdr:grpSp>
    <xdr:clientData/>
  </xdr:twoCellAnchor>
  <xdr:twoCellAnchor>
    <xdr:from>
      <xdr:col>15</xdr:col>
      <xdr:colOff>53340</xdr:colOff>
      <xdr:row>724</xdr:row>
      <xdr:rowOff>198118</xdr:rowOff>
    </xdr:from>
    <xdr:to>
      <xdr:col>26</xdr:col>
      <xdr:colOff>464820</xdr:colOff>
      <xdr:row>742</xdr:row>
      <xdr:rowOff>129540</xdr:rowOff>
    </xdr:to>
    <xdr:sp macro="" textlink="">
      <xdr:nvSpPr>
        <xdr:cNvPr id="59" name="notes" hidden="1">
          <a:extLst>
            <a:ext uri="{FF2B5EF4-FFF2-40B4-BE49-F238E27FC236}">
              <a16:creationId xmlns:a16="http://schemas.microsoft.com/office/drawing/2014/main" id="{00000000-0008-0000-0000-00003B000000}"/>
            </a:ext>
          </a:extLst>
        </xdr:cNvPr>
        <xdr:cNvSpPr txBox="1"/>
      </xdr:nvSpPr>
      <xdr:spPr>
        <a:xfrm>
          <a:off x="6263640" y="96072958"/>
          <a:ext cx="0" cy="409194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trike="sngStrike" baseline="0">
              <a:solidFill>
                <a:schemeClr val="dk1"/>
              </a:solidFill>
              <a:latin typeface="Cambria" panose="02040503050406030204" pitchFamily="18" charset="0"/>
              <a:ea typeface="Cambria" panose="02040503050406030204" pitchFamily="18" charset="0"/>
              <a:cs typeface="+mn-cs"/>
            </a:rPr>
            <a:t>Your client's political views give you a glimpse into their pressing needs. If you remain atop of any tendency toward countertransference, you can tap into their priorities without having to ask. Politics </a:t>
          </a:r>
        </a:p>
        <a:p>
          <a:r>
            <a:rPr lang="en-US" sz="1200" strike="sngStrike" baseline="0">
              <a:solidFill>
                <a:schemeClr val="dk1"/>
              </a:solidFill>
              <a:latin typeface="Cambria" panose="02040503050406030204" pitchFamily="18" charset="0"/>
              <a:ea typeface="Cambria" panose="02040503050406030204" pitchFamily="18" charset="0"/>
              <a:cs typeface="+mn-cs"/>
            </a:rPr>
            <a:t>code for what is most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The needs behind political differences are not open to debate. No one's needs will ever change because you disagree with it. Only what others are to do about such needs fall within a legitimate political debate. You can disagree all you want [COUNSELOR PO STANCE] but your client's needs for [CLIENT PO STANCE] will not budge. Popular politics conflates inflexible needs with generalized reactions to those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strike="sngStrike" baseline="0">
              <a:solidFill>
                <a:schemeClr val="dk1"/>
              </a:solidFill>
              <a:latin typeface="Cambria" panose="02040503050406030204" pitchFamily="18" charset="0"/>
              <a:ea typeface="Cambria" panose="02040503050406030204" pitchFamily="18" charset="0"/>
              <a:cs typeface="+mn-cs"/>
            </a:rPr>
            <a:t>Popular politics suggests your client's [ISSUE]-related needs can be eased simply by [POSITION REACTION]. The more painful their unresolved needs, the less attention they can afford to how their stance can affect others.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Popular politics easily pulls them into an unnecessary conflict with others whose [ISSUE]-related needs insist they [POSITION REACTION]. Each side consumes precious resources trying to prove themselves right. You can redirect your client to take a more proactive path, toward resolving their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HP provides you opportunity to help clients distinguish between their inflexible [ISSUE]-related needs and the overgeneralizing tendency of [ISSUE] politics that rarely if ever can help resolve those inflexible needs. </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14</xdr:col>
      <xdr:colOff>0</xdr:colOff>
      <xdr:row>869</xdr:row>
      <xdr:rowOff>91440</xdr:rowOff>
    </xdr:from>
    <xdr:to>
      <xdr:col>14</xdr:col>
      <xdr:colOff>0</xdr:colOff>
      <xdr:row>881</xdr:row>
      <xdr:rowOff>0</xdr:rowOff>
    </xdr:to>
    <xdr:grpSp>
      <xdr:nvGrpSpPr>
        <xdr:cNvPr id="83" name="traffic light" hidden="1">
          <a:extLst>
            <a:ext uri="{FF2B5EF4-FFF2-40B4-BE49-F238E27FC236}">
              <a16:creationId xmlns:a16="http://schemas.microsoft.com/office/drawing/2014/main" id="{00000000-0008-0000-0000-000053000000}"/>
            </a:ext>
          </a:extLst>
        </xdr:cNvPr>
        <xdr:cNvGrpSpPr/>
      </xdr:nvGrpSpPr>
      <xdr:grpSpPr>
        <a:xfrm>
          <a:off x="6263640" y="206509620"/>
          <a:ext cx="0" cy="2484120"/>
          <a:chOff x="121920" y="84681060"/>
          <a:chExt cx="5981700" cy="2769108"/>
        </a:xfrm>
      </xdr:grpSpPr>
      <xdr:sp macro="" textlink="">
        <xdr:nvSpPr>
          <xdr:cNvPr id="84" name="value relating">
            <a:extLst>
              <a:ext uri="{FF2B5EF4-FFF2-40B4-BE49-F238E27FC236}">
                <a16:creationId xmlns:a16="http://schemas.microsoft.com/office/drawing/2014/main" id="{00000000-0008-0000-0000-000054000000}"/>
              </a:ext>
            </a:extLst>
          </xdr:cNvPr>
          <xdr:cNvSpPr txBox="1"/>
        </xdr:nvSpPr>
        <xdr:spPr>
          <a:xfrm>
            <a:off x="297180" y="84780120"/>
            <a:ext cx="5806440" cy="2670048"/>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nchorCtr="1"/>
          <a:lstStyle/>
          <a:p>
            <a:pPr lvl="1" algn="ctr"/>
            <a:r>
              <a:rPr lang="en-US" sz="1400" b="1">
                <a:solidFill>
                  <a:srgbClr val="00B050"/>
                </a:solidFill>
                <a:latin typeface="Tahoma" panose="020B0604030504040204" pitchFamily="34" charset="0"/>
                <a:ea typeface="Tahoma" panose="020B0604030504040204" pitchFamily="34" charset="0"/>
                <a:cs typeface="Tahoma" panose="020B0604030504040204" pitchFamily="34" charset="0"/>
              </a:rPr>
              <a:t>Value</a:t>
            </a:r>
            <a:r>
              <a:rPr lang="en-US" sz="1400" b="1">
                <a:latin typeface="Tahoma" panose="020B0604030504040204" pitchFamily="34" charset="0"/>
                <a:ea typeface="Tahoma" panose="020B0604030504040204" pitchFamily="34" charset="0"/>
                <a:cs typeface="Tahoma" panose="020B0604030504040204" pitchFamily="34" charset="0"/>
              </a:rPr>
              <a:t> </a:t>
            </a:r>
            <a:r>
              <a:rPr lang="en-US" sz="1400" b="1">
                <a:solidFill>
                  <a:srgbClr val="7030A0"/>
                </a:solidFill>
                <a:latin typeface="Tahoma" panose="020B0604030504040204" pitchFamily="34" charset="0"/>
                <a:ea typeface="Tahoma" panose="020B0604030504040204" pitchFamily="34" charset="0"/>
                <a:cs typeface="Tahoma" panose="020B0604030504040204" pitchFamily="34" charset="0"/>
              </a:rPr>
              <a:t>Relating</a:t>
            </a:r>
          </a:p>
          <a:p>
            <a:pPr lvl="1" algn="ctr"/>
            <a:r>
              <a:rPr lang="en-US" sz="1050" baseline="0">
                <a:latin typeface="Arial Narrow" panose="020B0606020202030204" pitchFamily="34" charset="0"/>
              </a:rPr>
              <a:t>solving problems by resolving needs</a:t>
            </a:r>
            <a:endParaRPr lang="en-US" sz="1050">
              <a:latin typeface="Arial Narrow" panose="020B0606020202030204" pitchFamily="34" charset="0"/>
            </a:endParaRPr>
          </a:p>
        </xdr:txBody>
      </xdr:sp>
      <xdr:sp macro="" textlink="">
        <xdr:nvSpPr>
          <xdr:cNvPr id="85" name="recover rapport">
            <a:extLst>
              <a:ext uri="{FF2B5EF4-FFF2-40B4-BE49-F238E27FC236}">
                <a16:creationId xmlns:a16="http://schemas.microsoft.com/office/drawing/2014/main" id="{00000000-0008-0000-0000-00005500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1"/>
            <a:r>
              <a:rPr lang="en-US" sz="1050" baseline="0">
                <a:latin typeface="Arial Narrow" panose="020B0606020202030204" pitchFamily="34" charset="0"/>
              </a:rPr>
              <a:t>First, Harmony Politics stops you from losing clients over political differences. </a:t>
            </a:r>
          </a:p>
          <a:p>
            <a:endParaRPr lang="en-US" sz="1050">
              <a:latin typeface="Arial Narrow" panose="020B0606020202030204" pitchFamily="34" charset="0"/>
            </a:endParaRPr>
          </a:p>
        </xdr:txBody>
      </xdr:sp>
      <xdr:sp macro="" textlink="">
        <xdr:nvSpPr>
          <xdr:cNvPr id="86" name="sustain development">
            <a:extLst>
              <a:ext uri="{FF2B5EF4-FFF2-40B4-BE49-F238E27FC236}">
                <a16:creationId xmlns:a16="http://schemas.microsoft.com/office/drawing/2014/main" id="{00000000-0008-0000-0000-00005600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Sustain development</a:t>
            </a:r>
          </a:p>
          <a:p>
            <a:pPr lvl="1"/>
            <a:r>
              <a:rPr lang="en-US" sz="1050" baseline="0">
                <a:latin typeface="Arial Narrow" panose="020B0606020202030204" pitchFamily="34" charset="0"/>
              </a:rPr>
              <a:t>Second, Harmony Politics helps you sustain your client's psychosocial development. </a:t>
            </a:r>
          </a:p>
          <a:p>
            <a:endParaRPr lang="en-US" sz="1050">
              <a:latin typeface="Arial Narrow" panose="020B0606020202030204" pitchFamily="34" charset="0"/>
            </a:endParaRPr>
          </a:p>
        </xdr:txBody>
      </xdr:sp>
      <xdr:sp macro="" textlink="">
        <xdr:nvSpPr>
          <xdr:cNvPr id="87" name="thrive flow">
            <a:extLst>
              <a:ext uri="{FF2B5EF4-FFF2-40B4-BE49-F238E27FC236}">
                <a16:creationId xmlns:a16="http://schemas.microsoft.com/office/drawing/2014/main" id="{00000000-0008-0000-0000-00005700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1"/>
            <a:r>
              <a:rPr lang="en-US" sz="1050" baseline="0">
                <a:latin typeface="Arial Narrow" panose="020B0606020202030204" pitchFamily="34" charset="0"/>
              </a:rPr>
              <a:t>Lastly, Harmony Politics can empower your client to live up to their full potential. </a:t>
            </a:r>
          </a:p>
          <a:p>
            <a:endParaRPr lang="en-US" sz="1050">
              <a:latin typeface="Arial Narrow" panose="020B0606020202030204" pitchFamily="34" charset="0"/>
            </a:endParaRPr>
          </a:p>
        </xdr:txBody>
      </xdr:sp>
      <xdr:pic>
        <xdr:nvPicPr>
          <xdr:cNvPr id="88" name="traffic light pgn">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6"/>
          <a:stretch>
            <a:fillRect/>
          </a:stretch>
        </xdr:blipFill>
        <xdr:spPr>
          <a:xfrm>
            <a:off x="121920" y="84681060"/>
            <a:ext cx="1649019" cy="2765934"/>
          </a:xfrm>
          <a:prstGeom prst="rect">
            <a:avLst/>
          </a:prstGeom>
        </xdr:spPr>
      </xdr:pic>
    </xdr:grpSp>
    <xdr:clientData/>
  </xdr:twoCellAnchor>
  <xdr:twoCellAnchor editAs="oneCell">
    <xdr:from>
      <xdr:col>24</xdr:col>
      <xdr:colOff>212952</xdr:colOff>
      <xdr:row>843</xdr:row>
      <xdr:rowOff>68580</xdr:rowOff>
    </xdr:from>
    <xdr:to>
      <xdr:col>33</xdr:col>
      <xdr:colOff>357036</xdr:colOff>
      <xdr:row>855</xdr:row>
      <xdr:rowOff>242927</xdr:rowOff>
    </xdr:to>
    <xdr:pic>
      <xdr:nvPicPr>
        <xdr:cNvPr id="92" name="needs in balance" hidden="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263640" y="115214400"/>
          <a:ext cx="2907670" cy="2989861"/>
        </a:xfrm>
        <a:prstGeom prst="rect">
          <a:avLst/>
        </a:prstGeom>
      </xdr:spPr>
    </xdr:pic>
    <xdr:clientData/>
  </xdr:twoCellAnchor>
  <xdr:twoCellAnchor editAs="oneCell">
    <xdr:from>
      <xdr:col>25</xdr:col>
      <xdr:colOff>385018</xdr:colOff>
      <xdr:row>574</xdr:row>
      <xdr:rowOff>0</xdr:rowOff>
    </xdr:from>
    <xdr:to>
      <xdr:col>33</xdr:col>
      <xdr:colOff>97108</xdr:colOff>
      <xdr:row>582</xdr:row>
      <xdr:rowOff>76662</xdr:rowOff>
    </xdr:to>
    <xdr:pic>
      <xdr:nvPicPr>
        <xdr:cNvPr id="96" name="ballot box, clear" hidden="1">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263640" y="78051660"/>
          <a:ext cx="2650448" cy="2087880"/>
        </a:xfrm>
        <a:prstGeom prst="rect">
          <a:avLst/>
        </a:prstGeom>
      </xdr:spPr>
    </xdr:pic>
    <xdr:clientData/>
  </xdr:twoCellAnchor>
  <xdr:twoCellAnchor editAs="oneCell">
    <xdr:from>
      <xdr:col>18</xdr:col>
      <xdr:colOff>29865</xdr:colOff>
      <xdr:row>600</xdr:row>
      <xdr:rowOff>205740</xdr:rowOff>
    </xdr:from>
    <xdr:to>
      <xdr:col>32</xdr:col>
      <xdr:colOff>103926</xdr:colOff>
      <xdr:row>608</xdr:row>
      <xdr:rowOff>52922</xdr:rowOff>
    </xdr:to>
    <xdr:pic>
      <xdr:nvPicPr>
        <xdr:cNvPr id="97" name="overgen yield sign" hidden="1">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263640" y="84894420"/>
          <a:ext cx="2044391" cy="1813833"/>
        </a:xfrm>
        <a:prstGeom prst="rect">
          <a:avLst/>
        </a:prstGeom>
      </xdr:spPr>
    </xdr:pic>
    <xdr:clientData/>
  </xdr:twoCellAnchor>
  <xdr:twoCellAnchor>
    <xdr:from>
      <xdr:col>46</xdr:col>
      <xdr:colOff>56104</xdr:colOff>
      <xdr:row>818</xdr:row>
      <xdr:rowOff>179518</xdr:rowOff>
    </xdr:from>
    <xdr:to>
      <xdr:col>50</xdr:col>
      <xdr:colOff>440391</xdr:colOff>
      <xdr:row>853</xdr:row>
      <xdr:rowOff>307115</xdr:rowOff>
    </xdr:to>
    <xdr:sp macro="" textlink="">
      <xdr:nvSpPr>
        <xdr:cNvPr id="106" name="TextBox 105">
          <a:extLst>
            <a:ext uri="{FF2B5EF4-FFF2-40B4-BE49-F238E27FC236}">
              <a16:creationId xmlns:a16="http://schemas.microsoft.com/office/drawing/2014/main" id="{00000000-0008-0000-0000-00006A000000}"/>
            </a:ext>
          </a:extLst>
        </xdr:cNvPr>
        <xdr:cNvSpPr txBox="1"/>
      </xdr:nvSpPr>
      <xdr:spPr>
        <a:xfrm>
          <a:off x="22878004" y="191651068"/>
          <a:ext cx="2822687" cy="8490547"/>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avoidant options</a:t>
          </a:r>
          <a:endParaRPr lang="en-US" sz="1100">
            <a:solidFill>
              <a:schemeClr val="dk1"/>
            </a:solidFill>
            <a:effectLst/>
            <a:latin typeface="Tahoma" panose="020B0604030504040204" pitchFamily="34" charset="0"/>
            <a:ea typeface="Tahoma" panose="020B0604030504040204" pitchFamily="34" charset="0"/>
            <a:cs typeface="Tahoma" panose="020B0604030504040204" pitchFamily="34" charset="0"/>
          </a:endParaRP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absenteeism</a:t>
          </a:r>
        </a:p>
        <a:p>
          <a:r>
            <a:rPr lang="en-US" sz="1000">
              <a:solidFill>
                <a:schemeClr val="dk1"/>
              </a:solidFill>
              <a:effectLst/>
              <a:latin typeface="Cambria" panose="02040503050406030204" pitchFamily="18" charset="0"/>
              <a:ea typeface="Cambria" panose="02040503050406030204" pitchFamily="18" charset="0"/>
              <a:cs typeface="+mn-cs"/>
            </a:rPr>
            <a:t>accept being overwhelmed</a:t>
          </a:r>
        </a:p>
        <a:p>
          <a:r>
            <a:rPr lang="en-US" sz="1000">
              <a:solidFill>
                <a:schemeClr val="dk1"/>
              </a:solidFill>
              <a:effectLst/>
              <a:latin typeface="Cambria" panose="02040503050406030204" pitchFamily="18" charset="0"/>
              <a:ea typeface="Cambria" panose="02040503050406030204" pitchFamily="18" charset="0"/>
              <a:cs typeface="+mn-cs"/>
            </a:rPr>
            <a:t>acquiesce to demands of power</a:t>
          </a:r>
        </a:p>
        <a:p>
          <a:r>
            <a:rPr lang="en-US" sz="1000">
              <a:solidFill>
                <a:schemeClr val="dk1"/>
              </a:solidFill>
              <a:effectLst/>
              <a:latin typeface="Cambria" panose="02040503050406030204" pitchFamily="18" charset="0"/>
              <a:ea typeface="Cambria" panose="02040503050406030204" pitchFamily="18" charset="0"/>
              <a:cs typeface="+mn-cs"/>
            </a:rPr>
            <a:t>blame oneself for everything</a:t>
          </a:r>
        </a:p>
        <a:p>
          <a:r>
            <a:rPr lang="en-US" sz="1000">
              <a:solidFill>
                <a:schemeClr val="dk1"/>
              </a:solidFill>
              <a:effectLst/>
              <a:latin typeface="Cambria" panose="02040503050406030204" pitchFamily="18" charset="0"/>
              <a:ea typeface="Cambria" panose="02040503050406030204" pitchFamily="18" charset="0"/>
              <a:cs typeface="+mn-cs"/>
            </a:rPr>
            <a:t>compromise health further</a:t>
          </a:r>
        </a:p>
        <a:p>
          <a:r>
            <a:rPr lang="en-US" sz="1000">
              <a:solidFill>
                <a:schemeClr val="dk1"/>
              </a:solidFill>
              <a:effectLst/>
              <a:latin typeface="Cambria" panose="02040503050406030204" pitchFamily="18" charset="0"/>
              <a:ea typeface="Cambria" panose="02040503050406030204" pitchFamily="18" charset="0"/>
              <a:cs typeface="+mn-cs"/>
            </a:rPr>
            <a:t>cope with addictive items</a:t>
          </a:r>
        </a:p>
        <a:p>
          <a:r>
            <a:rPr lang="en-US" sz="1000">
              <a:solidFill>
                <a:schemeClr val="dk1"/>
              </a:solidFill>
              <a:effectLst/>
              <a:latin typeface="Cambria" panose="02040503050406030204" pitchFamily="18" charset="0"/>
              <a:ea typeface="Cambria" panose="02040503050406030204" pitchFamily="18" charset="0"/>
              <a:cs typeface="+mn-cs"/>
            </a:rPr>
            <a:t>catastrophize</a:t>
          </a:r>
        </a:p>
        <a:p>
          <a:r>
            <a:rPr lang="en-US" sz="1000">
              <a:solidFill>
                <a:schemeClr val="dk1"/>
              </a:solidFill>
              <a:effectLst/>
              <a:latin typeface="Cambria" panose="02040503050406030204" pitchFamily="18" charset="0"/>
              <a:ea typeface="Cambria" panose="02040503050406030204" pitchFamily="18" charset="0"/>
              <a:cs typeface="+mn-cs"/>
            </a:rPr>
            <a:t>endure increasing anxiety</a:t>
          </a:r>
        </a:p>
        <a:p>
          <a:r>
            <a:rPr lang="en-US" sz="1000">
              <a:solidFill>
                <a:schemeClr val="dk1"/>
              </a:solidFill>
              <a:effectLst/>
              <a:latin typeface="Cambria" panose="02040503050406030204" pitchFamily="18" charset="0"/>
              <a:ea typeface="Cambria" panose="02040503050406030204" pitchFamily="18" charset="0"/>
              <a:cs typeface="+mn-cs"/>
            </a:rPr>
            <a:t>give into other forms of violence</a:t>
          </a:r>
        </a:p>
        <a:p>
          <a:r>
            <a:rPr lang="en-US" sz="1000">
              <a:solidFill>
                <a:schemeClr val="dk1"/>
              </a:solidFill>
              <a:effectLst/>
              <a:latin typeface="Cambria" panose="02040503050406030204" pitchFamily="18" charset="0"/>
              <a:ea typeface="Cambria" panose="02040503050406030204" pitchFamily="18" charset="0"/>
              <a:cs typeface="+mn-cs"/>
            </a:rPr>
            <a:t>lapse into dysfunctional behaviors</a:t>
          </a:r>
        </a:p>
        <a:p>
          <a:r>
            <a:rPr lang="en-US" sz="1000">
              <a:solidFill>
                <a:schemeClr val="dk1"/>
              </a:solidFill>
              <a:effectLst/>
              <a:latin typeface="Cambria" panose="02040503050406030204" pitchFamily="18" charset="0"/>
              <a:ea typeface="Cambria" panose="02040503050406030204" pitchFamily="18" charset="0"/>
              <a:cs typeface="+mn-cs"/>
            </a:rPr>
            <a:t>lose further efficacy</a:t>
          </a:r>
        </a:p>
        <a:p>
          <a:r>
            <a:rPr lang="en-US" sz="1000">
              <a:solidFill>
                <a:schemeClr val="dk1"/>
              </a:solidFill>
              <a:effectLst/>
              <a:latin typeface="Cambria" panose="02040503050406030204" pitchFamily="18" charset="0"/>
              <a:ea typeface="Cambria" panose="02040503050406030204" pitchFamily="18" charset="0"/>
              <a:cs typeface="+mn-cs"/>
            </a:rPr>
            <a:t>obsess on extremes</a:t>
          </a:r>
        </a:p>
        <a:p>
          <a:r>
            <a:rPr lang="en-US" sz="1000">
              <a:solidFill>
                <a:schemeClr val="dk1"/>
              </a:solidFill>
              <a:effectLst/>
              <a:latin typeface="Cambria" panose="02040503050406030204" pitchFamily="18" charset="0"/>
              <a:ea typeface="Cambria" panose="02040503050406030204" pitchFamily="18" charset="0"/>
              <a:cs typeface="+mn-cs"/>
            </a:rPr>
            <a:t>presenteeism</a:t>
          </a:r>
        </a:p>
        <a:p>
          <a:r>
            <a:rPr lang="en-US" sz="1000">
              <a:solidFill>
                <a:schemeClr val="dk1"/>
              </a:solidFill>
              <a:effectLst/>
              <a:latin typeface="Cambria" panose="02040503050406030204" pitchFamily="18" charset="0"/>
              <a:ea typeface="Cambria" panose="02040503050406030204" pitchFamily="18" charset="0"/>
              <a:cs typeface="+mn-cs"/>
            </a:rPr>
            <a:t>retail therapy</a:t>
          </a:r>
        </a:p>
        <a:p>
          <a:r>
            <a:rPr lang="en-US" sz="1000">
              <a:solidFill>
                <a:schemeClr val="dk1"/>
              </a:solidFill>
              <a:effectLst/>
              <a:latin typeface="Cambria" panose="02040503050406030204" pitchFamily="18" charset="0"/>
              <a:ea typeface="Cambria" panose="02040503050406030204" pitchFamily="18" charset="0"/>
              <a:cs typeface="+mn-cs"/>
            </a:rPr>
            <a:t>slip into hopelessness</a:t>
          </a:r>
        </a:p>
        <a:p>
          <a:r>
            <a:rPr lang="en-US" sz="1000">
              <a:solidFill>
                <a:schemeClr val="dk1"/>
              </a:solidFill>
              <a:effectLst/>
              <a:latin typeface="Cambria" panose="02040503050406030204" pitchFamily="18" charset="0"/>
              <a:ea typeface="Cambria" panose="02040503050406030204" pitchFamily="18" charset="0"/>
              <a:cs typeface="+mn-cs"/>
            </a:rPr>
            <a:t>suffer deeper levels of depression</a:t>
          </a:r>
        </a:p>
        <a:p>
          <a:r>
            <a:rPr lang="en-US" sz="1000">
              <a:solidFill>
                <a:schemeClr val="dk1"/>
              </a:solidFill>
              <a:effectLst/>
              <a:latin typeface="Cambria" panose="02040503050406030204" pitchFamily="18" charset="0"/>
              <a:ea typeface="Cambria" panose="02040503050406030204" pitchFamily="18" charset="0"/>
              <a:cs typeface="+mn-cs"/>
            </a:rPr>
            <a:t>suffer mental health issues</a:t>
          </a:r>
        </a:p>
        <a:p>
          <a:r>
            <a:rPr lang="en-US" sz="1000">
              <a:solidFill>
                <a:schemeClr val="dk1"/>
              </a:solidFill>
              <a:effectLst/>
              <a:latin typeface="Cambria" panose="02040503050406030204" pitchFamily="18" charset="0"/>
              <a:ea typeface="Cambria" panose="02040503050406030204" pitchFamily="18" charset="0"/>
              <a:cs typeface="+mn-cs"/>
            </a:rPr>
            <a:t>suppress own doubts and fears</a:t>
          </a:r>
        </a:p>
        <a:p>
          <a:r>
            <a:rPr lang="en-US" sz="1000">
              <a:solidFill>
                <a:schemeClr val="dk1"/>
              </a:solidFill>
              <a:effectLst/>
              <a:latin typeface="Cambria" panose="02040503050406030204" pitchFamily="18" charset="0"/>
              <a:ea typeface="Cambria" panose="02040503050406030204" pitchFamily="18" charset="0"/>
              <a:cs typeface="+mn-cs"/>
            </a:rPr>
            <a:t>withdraw from social life</a:t>
          </a:r>
        </a:p>
        <a:p>
          <a:r>
            <a:rPr lang="en-US" sz="1000">
              <a:solidFill>
                <a:schemeClr val="dk1"/>
              </a:solidFill>
              <a:effectLst/>
              <a:latin typeface="Cambria" panose="02040503050406030204" pitchFamily="18" charset="0"/>
              <a:ea typeface="Cambria" panose="02040503050406030204" pitchFamily="18" charset="0"/>
              <a:cs typeface="+mn-cs"/>
            </a:rPr>
            <a:t>wonder about killing oneself</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adversarial options (political leaders)</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question best practices</a:t>
          </a:r>
        </a:p>
        <a:p>
          <a:r>
            <a:rPr lang="en-US" sz="1000">
              <a:solidFill>
                <a:schemeClr val="dk1"/>
              </a:solidFill>
              <a:effectLst/>
              <a:latin typeface="Cambria" panose="02040503050406030204" pitchFamily="18" charset="0"/>
              <a:ea typeface="Cambria" panose="02040503050406030204" pitchFamily="18" charset="0"/>
              <a:cs typeface="+mn-cs"/>
            </a:rPr>
            <a:t>question industry standards</a:t>
          </a:r>
        </a:p>
        <a:p>
          <a:r>
            <a:rPr lang="en-US" sz="1000">
              <a:solidFill>
                <a:schemeClr val="dk1"/>
              </a:solidFill>
              <a:effectLst/>
              <a:latin typeface="Cambria" panose="02040503050406030204" pitchFamily="18" charset="0"/>
              <a:ea typeface="Cambria" panose="02040503050406030204" pitchFamily="18" charset="0"/>
              <a:cs typeface="+mn-cs"/>
            </a:rPr>
            <a:t>challenge if following professional ethics</a:t>
          </a:r>
        </a:p>
        <a:p>
          <a:r>
            <a:rPr lang="en-US" sz="1000">
              <a:solidFill>
                <a:schemeClr val="dk1"/>
              </a:solidFill>
              <a:effectLst/>
              <a:latin typeface="Cambria" panose="02040503050406030204" pitchFamily="18" charset="0"/>
              <a:ea typeface="Cambria" panose="02040503050406030204" pitchFamily="18" charset="0"/>
              <a:cs typeface="+mn-cs"/>
            </a:rPr>
            <a:t>publicly denounce unresponsiveness</a:t>
          </a:r>
        </a:p>
        <a:p>
          <a:r>
            <a:rPr lang="en-US" sz="1000">
              <a:solidFill>
                <a:schemeClr val="dk1"/>
              </a:solidFill>
              <a:effectLst/>
              <a:latin typeface="Cambria" panose="02040503050406030204" pitchFamily="18" charset="0"/>
              <a:ea typeface="Cambria" panose="02040503050406030204" pitchFamily="18" charset="0"/>
              <a:cs typeface="+mn-cs"/>
            </a:rPr>
            <a:t>launch critical media campaign</a:t>
          </a:r>
        </a:p>
        <a:p>
          <a:r>
            <a:rPr lang="en-US" sz="1000">
              <a:solidFill>
                <a:schemeClr val="dk1"/>
              </a:solidFill>
              <a:effectLst/>
              <a:latin typeface="Cambria" panose="02040503050406030204" pitchFamily="18" charset="0"/>
              <a:ea typeface="Cambria" panose="02040503050406030204" pitchFamily="18" charset="0"/>
              <a:cs typeface="+mn-cs"/>
            </a:rPr>
            <a:t>online reputations orgs</a:t>
          </a:r>
        </a:p>
        <a:p>
          <a:r>
            <a:rPr lang="en-US" sz="1000">
              <a:solidFill>
                <a:schemeClr val="dk1"/>
              </a:solidFill>
              <a:effectLst/>
              <a:latin typeface="Cambria" panose="02040503050406030204" pitchFamily="18" charset="0"/>
              <a:ea typeface="Cambria" panose="02040503050406030204" pitchFamily="18" charset="0"/>
              <a:cs typeface="+mn-cs"/>
            </a:rPr>
            <a:t>SLAPP</a:t>
          </a:r>
        </a:p>
        <a:p>
          <a:r>
            <a:rPr lang="en-US" sz="1000">
              <a:solidFill>
                <a:schemeClr val="dk1"/>
              </a:solidFill>
              <a:effectLst/>
              <a:latin typeface="Cambria" panose="02040503050406030204" pitchFamily="18" charset="0"/>
              <a:ea typeface="Cambria" panose="02040503050406030204" pitchFamily="18" charset="0"/>
              <a:cs typeface="+mn-cs"/>
            </a:rPr>
            <a:t>lock tax liability</a:t>
          </a:r>
          <a:r>
            <a:rPr lang="en-US" sz="1000" baseline="0">
              <a:solidFill>
                <a:schemeClr val="dk1"/>
              </a:solidFill>
              <a:effectLst/>
              <a:latin typeface="Cambria" panose="02040503050406030204" pitchFamily="18" charset="0"/>
              <a:ea typeface="Cambria" panose="02040503050406030204" pitchFamily="18" charset="0"/>
              <a:cs typeface="+mn-cs"/>
            </a:rPr>
            <a:t> into escrow</a:t>
          </a:r>
          <a:endParaRPr lang="en-US" sz="1000">
            <a:solidFill>
              <a:schemeClr val="dk1"/>
            </a:solidFill>
            <a:effectLst/>
            <a:latin typeface="Cambria" panose="02040503050406030204" pitchFamily="18" charset="0"/>
            <a:ea typeface="Cambria" panose="02040503050406030204" pitchFamily="18" charset="0"/>
            <a:cs typeface="+mn-cs"/>
          </a:endParaRPr>
        </a:p>
        <a:p>
          <a:r>
            <a:rPr lang="en-US" sz="1000">
              <a:solidFill>
                <a:schemeClr val="dk1"/>
              </a:solidFill>
              <a:effectLst/>
              <a:latin typeface="Cambria" panose="02040503050406030204" pitchFamily="18" charset="0"/>
              <a:ea typeface="Cambria" panose="02040503050406030204" pitchFamily="18" charset="0"/>
              <a:cs typeface="+mn-cs"/>
            </a:rPr>
            <a:t>“confront revenue sources”</a:t>
          </a:r>
        </a:p>
        <a:p>
          <a:r>
            <a:rPr lang="en-US" sz="1000">
              <a:solidFill>
                <a:schemeClr val="dk1"/>
              </a:solidFill>
              <a:effectLst/>
              <a:latin typeface="Cambria" panose="02040503050406030204" pitchFamily="18" charset="0"/>
              <a:ea typeface="Cambria" panose="02040503050406030204" pitchFamily="18" charset="0"/>
              <a:cs typeface="+mn-cs"/>
            </a:rPr>
            <a:t>“strategic noncooperation”</a:t>
          </a:r>
        </a:p>
        <a:p>
          <a:r>
            <a:rPr lang="en-US" sz="1000">
              <a:solidFill>
                <a:schemeClr val="dk1"/>
              </a:solidFill>
              <a:effectLst/>
              <a:latin typeface="Cambria" panose="02040503050406030204" pitchFamily="18" charset="0"/>
              <a:ea typeface="Cambria" panose="02040503050406030204" pitchFamily="18" charset="0"/>
              <a:cs typeface="+mn-cs"/>
            </a:rPr>
            <a:t>“public vilification”</a:t>
          </a:r>
        </a:p>
        <a:p>
          <a:r>
            <a:rPr lang="en-US" sz="1000">
              <a:solidFill>
                <a:schemeClr val="dk1"/>
              </a:solidFill>
              <a:effectLst/>
              <a:latin typeface="Cambria" panose="02040503050406030204" pitchFamily="18" charset="0"/>
              <a:ea typeface="Cambria" panose="02040503050406030204" pitchFamily="18" charset="0"/>
              <a:cs typeface="+mn-cs"/>
            </a:rPr>
            <a:t>“comprehensive ostracization”</a:t>
          </a:r>
        </a:p>
        <a:p>
          <a:r>
            <a:rPr lang="en-US" sz="1000">
              <a:solidFill>
                <a:schemeClr val="dk1"/>
              </a:solidFill>
              <a:effectLst/>
              <a:latin typeface="Cambria" panose="02040503050406030204" pitchFamily="18" charset="0"/>
              <a:ea typeface="Cambria" panose="02040503050406030204" pitchFamily="18" charset="0"/>
              <a:cs typeface="+mn-cs"/>
            </a:rPr>
            <a:t>“avowed mortification”</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conciliatory options</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admit all needs sit equal before nature</a:t>
          </a:r>
        </a:p>
        <a:p>
          <a:r>
            <a:rPr lang="en-US" sz="1000">
              <a:solidFill>
                <a:schemeClr val="dk1"/>
              </a:solidFill>
              <a:effectLst/>
              <a:latin typeface="Cambria" panose="02040503050406030204" pitchFamily="18" charset="0"/>
              <a:ea typeface="Cambria" panose="02040503050406030204" pitchFamily="18" charset="0"/>
              <a:cs typeface="+mn-cs"/>
            </a:rPr>
            <a:t>admit resolving needs removes its pain</a:t>
          </a:r>
        </a:p>
        <a:p>
          <a:r>
            <a:rPr lang="en-US" sz="1000">
              <a:solidFill>
                <a:schemeClr val="dk1"/>
              </a:solidFill>
              <a:effectLst/>
              <a:latin typeface="Cambria" panose="02040503050406030204" pitchFamily="18" charset="0"/>
              <a:ea typeface="Cambria" panose="02040503050406030204" pitchFamily="18" charset="0"/>
              <a:cs typeface="+mn-cs"/>
            </a:rPr>
            <a:t>recognize damage from avoidance</a:t>
          </a:r>
        </a:p>
        <a:p>
          <a:r>
            <a:rPr lang="en-US" sz="1000">
              <a:solidFill>
                <a:schemeClr val="dk1"/>
              </a:solidFill>
              <a:effectLst/>
              <a:latin typeface="Cambria" panose="02040503050406030204" pitchFamily="18" charset="0"/>
              <a:ea typeface="Cambria" panose="02040503050406030204" pitchFamily="18" charset="0"/>
              <a:cs typeface="+mn-cs"/>
            </a:rPr>
            <a:t>reverse any harmful trends</a:t>
          </a:r>
        </a:p>
        <a:p>
          <a:r>
            <a:rPr lang="en-US" sz="1000">
              <a:solidFill>
                <a:schemeClr val="dk1"/>
              </a:solidFill>
              <a:effectLst/>
              <a:latin typeface="Cambria" panose="02040503050406030204" pitchFamily="18" charset="0"/>
              <a:ea typeface="Cambria" panose="02040503050406030204" pitchFamily="18" charset="0"/>
              <a:cs typeface="+mn-cs"/>
            </a:rPr>
            <a:t>cease coercive power</a:t>
          </a:r>
        </a:p>
        <a:p>
          <a:r>
            <a:rPr lang="en-US" sz="1000">
              <a:solidFill>
                <a:schemeClr val="dk1"/>
              </a:solidFill>
              <a:effectLst/>
              <a:latin typeface="Cambria" panose="02040503050406030204" pitchFamily="18" charset="0"/>
              <a:ea typeface="Cambria" panose="02040503050406030204" pitchFamily="18" charset="0"/>
              <a:cs typeface="+mn-cs"/>
            </a:rPr>
            <a:t>replace legal pressure with knowing needs</a:t>
          </a:r>
        </a:p>
        <a:p>
          <a:r>
            <a:rPr lang="en-US" sz="1000">
              <a:solidFill>
                <a:schemeClr val="dk1"/>
              </a:solidFill>
              <a:effectLst/>
              <a:latin typeface="Cambria" panose="02040503050406030204" pitchFamily="18" charset="0"/>
              <a:ea typeface="Cambria" panose="02040503050406030204" pitchFamily="18" charset="0"/>
              <a:cs typeface="+mn-cs"/>
            </a:rPr>
            <a:t>waive adversarial options</a:t>
          </a:r>
        </a:p>
        <a:p>
          <a:r>
            <a:rPr lang="en-US" sz="1000">
              <a:solidFill>
                <a:schemeClr val="dk1"/>
              </a:solidFill>
              <a:effectLst/>
              <a:latin typeface="Cambria" panose="02040503050406030204" pitchFamily="18" charset="0"/>
              <a:ea typeface="Cambria" panose="02040503050406030204" pitchFamily="18" charset="0"/>
              <a:cs typeface="+mn-cs"/>
            </a:rPr>
            <a:t>replace hostilities with understanding</a:t>
          </a:r>
        </a:p>
        <a:p>
          <a:r>
            <a:rPr lang="en-US" sz="1000">
              <a:solidFill>
                <a:schemeClr val="dk1"/>
              </a:solidFill>
              <a:effectLst/>
              <a:latin typeface="Cambria" panose="02040503050406030204" pitchFamily="18" charset="0"/>
              <a:ea typeface="Cambria" panose="02040503050406030204" pitchFamily="18" charset="0"/>
              <a:cs typeface="+mn-cs"/>
            </a:rPr>
            <a:t>identify each other’s affected needs</a:t>
          </a:r>
        </a:p>
        <a:p>
          <a:r>
            <a:rPr lang="en-US" sz="1000">
              <a:solidFill>
                <a:schemeClr val="dk1"/>
              </a:solidFill>
              <a:effectLst/>
              <a:latin typeface="Cambria" panose="02040503050406030204" pitchFamily="18" charset="0"/>
              <a:ea typeface="Cambria" panose="02040503050406030204" pitchFamily="18" charset="0"/>
              <a:cs typeface="+mn-cs"/>
            </a:rPr>
            <a:t>envision mutual benefits</a:t>
          </a:r>
        </a:p>
        <a:p>
          <a:r>
            <a:rPr lang="en-US" sz="1000">
              <a:solidFill>
                <a:schemeClr val="dk1"/>
              </a:solidFill>
              <a:effectLst/>
              <a:latin typeface="Cambria" panose="02040503050406030204" pitchFamily="18" charset="0"/>
              <a:ea typeface="Cambria" panose="02040503050406030204" pitchFamily="18" charset="0"/>
              <a:cs typeface="+mn-cs"/>
            </a:rPr>
            <a:t>shift from generalizing to specifics</a:t>
          </a:r>
        </a:p>
        <a:p>
          <a:r>
            <a:rPr lang="en-US" sz="1000">
              <a:solidFill>
                <a:schemeClr val="dk1"/>
              </a:solidFill>
              <a:effectLst/>
              <a:latin typeface="Cambria" panose="02040503050406030204" pitchFamily="18" charset="0"/>
              <a:ea typeface="Cambria" panose="02040503050406030204" pitchFamily="18" charset="0"/>
              <a:cs typeface="+mn-cs"/>
            </a:rPr>
            <a:t>shift from relief to resolving needs</a:t>
          </a:r>
        </a:p>
        <a:p>
          <a:r>
            <a:rPr lang="en-US" sz="1000">
              <a:solidFill>
                <a:schemeClr val="dk1"/>
              </a:solidFill>
              <a:effectLst/>
              <a:latin typeface="Cambria" panose="02040503050406030204" pitchFamily="18" charset="0"/>
              <a:ea typeface="Cambria" panose="02040503050406030204" pitchFamily="18" charset="0"/>
              <a:cs typeface="+mn-cs"/>
            </a:rPr>
            <a:t>mutually commit to resolve needs</a:t>
          </a:r>
        </a:p>
        <a:p>
          <a:r>
            <a:rPr lang="en-US" sz="1000">
              <a:solidFill>
                <a:schemeClr val="dk1"/>
              </a:solidFill>
              <a:effectLst/>
              <a:latin typeface="Cambria" panose="02040503050406030204" pitchFamily="18" charset="0"/>
              <a:ea typeface="Cambria" panose="02040503050406030204" pitchFamily="18" charset="0"/>
              <a:cs typeface="+mn-cs"/>
            </a:rPr>
            <a:t>invest in better outcomes</a:t>
          </a:r>
        </a:p>
        <a:p>
          <a:r>
            <a:rPr lang="en-US" sz="1000">
              <a:solidFill>
                <a:schemeClr val="dk1"/>
              </a:solidFill>
              <a:effectLst/>
              <a:latin typeface="Cambria" panose="02040503050406030204" pitchFamily="18" charset="0"/>
              <a:ea typeface="Cambria" panose="02040503050406030204" pitchFamily="18" charset="0"/>
              <a:cs typeface="+mn-cs"/>
            </a:rPr>
            <a:t>invest in positive impacts</a:t>
          </a:r>
        </a:p>
        <a:p>
          <a:endParaRPr lang="en-US" sz="1050" baseline="0">
            <a:latin typeface="Cambria" panose="02040503050406030204" pitchFamily="18" charset="0"/>
            <a:ea typeface="Cambria" panose="02040503050406030204" pitchFamily="18" charset="0"/>
          </a:endParaRPr>
        </a:p>
      </xdr:txBody>
    </xdr:sp>
    <xdr:clientData/>
  </xdr:twoCellAnchor>
  <xdr:twoCellAnchor>
    <xdr:from>
      <xdr:col>1</xdr:col>
      <xdr:colOff>23900</xdr:colOff>
      <xdr:row>926</xdr:row>
      <xdr:rowOff>149412</xdr:rowOff>
    </xdr:from>
    <xdr:to>
      <xdr:col>13</xdr:col>
      <xdr:colOff>52587</xdr:colOff>
      <xdr:row>928</xdr:row>
      <xdr:rowOff>119529</xdr:rowOff>
    </xdr:to>
    <xdr:sp macro="" textlink="">
      <xdr:nvSpPr>
        <xdr:cNvPr id="132" name="TextBox 131">
          <a:extLst>
            <a:ext uri="{FF2B5EF4-FFF2-40B4-BE49-F238E27FC236}">
              <a16:creationId xmlns:a16="http://schemas.microsoft.com/office/drawing/2014/main" id="{00000000-0008-0000-0000-000084000000}"/>
            </a:ext>
          </a:extLst>
        </xdr:cNvPr>
        <xdr:cNvSpPr txBox="1"/>
      </xdr:nvSpPr>
      <xdr:spPr>
        <a:xfrm>
          <a:off x="135959" y="221174236"/>
          <a:ext cx="6035040" cy="4781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solidFill>
                <a:schemeClr val="dk1"/>
              </a:solidFill>
              <a:latin typeface="Cambria" panose="02040503050406030204" pitchFamily="18" charset="0"/>
              <a:ea typeface="Cambria" panose="02040503050406030204" pitchFamily="18" charset="0"/>
              <a:cs typeface="+mn-cs"/>
            </a:rPr>
            <a:t>If you segue into the optional enterprise phase, you will work with your team to draft a set of relating terms best fitting to that particular situation.</a:t>
          </a:r>
        </a:p>
      </xdr:txBody>
    </xdr:sp>
    <xdr:clientData/>
  </xdr:twoCellAnchor>
  <xdr:twoCellAnchor>
    <xdr:from>
      <xdr:col>23</xdr:col>
      <xdr:colOff>303810</xdr:colOff>
      <xdr:row>54</xdr:row>
      <xdr:rowOff>229558</xdr:rowOff>
    </xdr:from>
    <xdr:to>
      <xdr:col>26</xdr:col>
      <xdr:colOff>323862</xdr:colOff>
      <xdr:row>54</xdr:row>
      <xdr:rowOff>534145</xdr:rowOff>
    </xdr:to>
    <xdr:sp macro="" textlink="">
      <xdr:nvSpPr>
        <xdr:cNvPr id="135" name="Arrow: Left 134">
          <a:hlinkClick xmlns:r="http://schemas.openxmlformats.org/officeDocument/2006/relationships" r:id="rId2" tooltip="back to Harmony Politics tab"/>
          <a:extLst>
            <a:ext uri="{FF2B5EF4-FFF2-40B4-BE49-F238E27FC236}">
              <a16:creationId xmlns:a16="http://schemas.microsoft.com/office/drawing/2014/main" id="{00000000-0008-0000-0000-000087000000}"/>
            </a:ext>
          </a:extLst>
        </xdr:cNvPr>
        <xdr:cNvSpPr/>
      </xdr:nvSpPr>
      <xdr:spPr>
        <a:xfrm>
          <a:off x="6263640" y="17214538"/>
          <a:ext cx="0" cy="30458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164</xdr:row>
      <xdr:rowOff>62369</xdr:rowOff>
    </xdr:from>
    <xdr:to>
      <xdr:col>26</xdr:col>
      <xdr:colOff>488215</xdr:colOff>
      <xdr:row>164</xdr:row>
      <xdr:rowOff>302426</xdr:rowOff>
    </xdr:to>
    <xdr:sp macro="" textlink="">
      <xdr:nvSpPr>
        <xdr:cNvPr id="136" name="Arrow: Left 135">
          <a:hlinkClick xmlns:r="http://schemas.openxmlformats.org/officeDocument/2006/relationships" r:id="rId2" tooltip="back to Harmony Politics tab"/>
          <a:extLst>
            <a:ext uri="{FF2B5EF4-FFF2-40B4-BE49-F238E27FC236}">
              <a16:creationId xmlns:a16="http://schemas.microsoft.com/office/drawing/2014/main" id="{00000000-0008-0000-0000-000088000000}"/>
            </a:ext>
          </a:extLst>
        </xdr:cNvPr>
        <xdr:cNvSpPr/>
      </xdr:nvSpPr>
      <xdr:spPr>
        <a:xfrm>
          <a:off x="6263640" y="33971369"/>
          <a:ext cx="0"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409743</xdr:colOff>
      <xdr:row>421</xdr:row>
      <xdr:rowOff>83735</xdr:rowOff>
    </xdr:from>
    <xdr:to>
      <xdr:col>26</xdr:col>
      <xdr:colOff>429795</xdr:colOff>
      <xdr:row>421</xdr:row>
      <xdr:rowOff>323792</xdr:rowOff>
    </xdr:to>
    <xdr:sp macro="" textlink="">
      <xdr:nvSpPr>
        <xdr:cNvPr id="137" name="Arrow: Left 136">
          <a:hlinkClick xmlns:r="http://schemas.openxmlformats.org/officeDocument/2006/relationships" r:id="rId2" tooltip="back to Harmony Politics tab"/>
          <a:extLst>
            <a:ext uri="{FF2B5EF4-FFF2-40B4-BE49-F238E27FC236}">
              <a16:creationId xmlns:a16="http://schemas.microsoft.com/office/drawing/2014/main" id="{00000000-0008-0000-0000-000089000000}"/>
            </a:ext>
          </a:extLst>
        </xdr:cNvPr>
        <xdr:cNvSpPr/>
      </xdr:nvSpPr>
      <xdr:spPr>
        <a:xfrm>
          <a:off x="10811043" y="101452595"/>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480863</xdr:colOff>
      <xdr:row>461</xdr:row>
      <xdr:rowOff>60128</xdr:rowOff>
    </xdr:from>
    <xdr:to>
      <xdr:col>26</xdr:col>
      <xdr:colOff>500915</xdr:colOff>
      <xdr:row>461</xdr:row>
      <xdr:rowOff>300185</xdr:rowOff>
    </xdr:to>
    <xdr:sp macro="" textlink="">
      <xdr:nvSpPr>
        <xdr:cNvPr id="138" name="Arrow: Left 137">
          <a:hlinkClick xmlns:r="http://schemas.openxmlformats.org/officeDocument/2006/relationships" r:id="rId2" tooltip="back to Harmony Politics tab"/>
          <a:extLst>
            <a:ext uri="{FF2B5EF4-FFF2-40B4-BE49-F238E27FC236}">
              <a16:creationId xmlns:a16="http://schemas.microsoft.com/office/drawing/2014/main" id="{00000000-0008-0000-0000-00008A000000}"/>
            </a:ext>
          </a:extLst>
        </xdr:cNvPr>
        <xdr:cNvSpPr/>
      </xdr:nvSpPr>
      <xdr:spPr>
        <a:xfrm>
          <a:off x="6263640" y="51037928"/>
          <a:ext cx="0"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492</xdr:row>
      <xdr:rowOff>66104</xdr:rowOff>
    </xdr:from>
    <xdr:to>
      <xdr:col>26</xdr:col>
      <xdr:colOff>488215</xdr:colOff>
      <xdr:row>492</xdr:row>
      <xdr:rowOff>300185</xdr:rowOff>
    </xdr:to>
    <xdr:sp macro="" textlink="">
      <xdr:nvSpPr>
        <xdr:cNvPr id="139" name="Arrow: Left 138">
          <a:hlinkClick xmlns:r="http://schemas.openxmlformats.org/officeDocument/2006/relationships" r:id="rId2" tooltip="back to Harmony Politics tab"/>
          <a:extLst>
            <a:ext uri="{FF2B5EF4-FFF2-40B4-BE49-F238E27FC236}">
              <a16:creationId xmlns:a16="http://schemas.microsoft.com/office/drawing/2014/main" id="{00000000-0008-0000-0000-00008B000000}"/>
            </a:ext>
          </a:extLst>
        </xdr:cNvPr>
        <xdr:cNvSpPr/>
      </xdr:nvSpPr>
      <xdr:spPr>
        <a:xfrm>
          <a:off x="6263640" y="5957068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529</xdr:row>
      <xdr:rowOff>66104</xdr:rowOff>
    </xdr:from>
    <xdr:to>
      <xdr:col>26</xdr:col>
      <xdr:colOff>488215</xdr:colOff>
      <xdr:row>529</xdr:row>
      <xdr:rowOff>300185</xdr:rowOff>
    </xdr:to>
    <xdr:sp macro="" textlink="">
      <xdr:nvSpPr>
        <xdr:cNvPr id="140" name="Arrow: Left 139">
          <a:hlinkClick xmlns:r="http://schemas.openxmlformats.org/officeDocument/2006/relationships" r:id="rId2" tooltip="back to Harmony Politics tab"/>
          <a:extLst>
            <a:ext uri="{FF2B5EF4-FFF2-40B4-BE49-F238E27FC236}">
              <a16:creationId xmlns:a16="http://schemas.microsoft.com/office/drawing/2014/main" id="{00000000-0008-0000-0000-00008C000000}"/>
            </a:ext>
          </a:extLst>
        </xdr:cNvPr>
        <xdr:cNvSpPr/>
      </xdr:nvSpPr>
      <xdr:spPr>
        <a:xfrm>
          <a:off x="6263640" y="6790696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60960</xdr:colOff>
      <xdr:row>2</xdr:row>
      <xdr:rowOff>182880</xdr:rowOff>
    </xdr:from>
    <xdr:ext cx="5943600" cy="2080260"/>
    <xdr:sp macro="" textlink="">
      <xdr:nvSpPr>
        <xdr:cNvPr id="141" name="Rectangle 140">
          <a:hlinkClick xmlns:r="http://schemas.openxmlformats.org/officeDocument/2006/relationships" r:id="rId10" tooltip="to next page down: table of contents"/>
          <a:extLst>
            <a:ext uri="{FF2B5EF4-FFF2-40B4-BE49-F238E27FC236}">
              <a16:creationId xmlns:a16="http://schemas.microsoft.com/office/drawing/2014/main" id="{00000000-0008-0000-0000-00008D000000}"/>
            </a:ext>
          </a:extLst>
        </xdr:cNvPr>
        <xdr:cNvSpPr/>
      </xdr:nvSpPr>
      <xdr:spPr>
        <a:xfrm>
          <a:off x="175260" y="876300"/>
          <a:ext cx="5943600" cy="2080260"/>
        </a:xfrm>
        <a:prstGeom prst="rect">
          <a:avLst/>
        </a:prstGeom>
        <a:noFill/>
      </xdr:spPr>
      <xdr:txBody>
        <a:bodyPr wrap="square" lIns="91440" tIns="45720" rIns="91440" bIns="45720" anchor="ctr">
          <a:noAutofit/>
        </a:bodyPr>
        <a:lstStyle/>
        <a:p>
          <a:pPr algn="ctr"/>
          <a:r>
            <a:rPr lang="en-US" sz="4800" b="0" cap="none" spc="0" baseline="0">
              <a:ln w="0"/>
              <a:solidFill>
                <a:srgbClr val="A5FFC8"/>
              </a:solidFill>
              <a:effectLst>
                <a:outerShdw blurRad="38100" dist="19050" dir="2700000" algn="tl" rotWithShape="0">
                  <a:schemeClr val="dk1">
                    <a:alpha val="40000"/>
                  </a:schemeClr>
                </a:outerShdw>
              </a:effectLst>
              <a:latin typeface="Arial Black" panose="020B0A04020102020204" pitchFamily="34" charset="0"/>
            </a:rPr>
            <a:t>Harmony</a:t>
          </a:r>
          <a:r>
            <a:rPr lang="en-US" sz="4800" b="0" cap="none" spc="0" baseline="0">
              <a:ln w="0"/>
              <a:solidFill>
                <a:srgbClr val="1E5A28"/>
              </a:solidFill>
              <a:effectLst>
                <a:outerShdw blurRad="38100" dist="19050" dir="2700000" algn="tl" rotWithShape="0">
                  <a:schemeClr val="dk1">
                    <a:alpha val="40000"/>
                  </a:schemeClr>
                </a:outerShdw>
              </a:effectLst>
              <a:latin typeface="Arial Black" panose="020B0A04020102020204" pitchFamily="34" charset="0"/>
            </a:rPr>
            <a:t> </a:t>
          </a:r>
          <a:r>
            <a:rPr lang="en-US" sz="4800" b="0" cap="none" spc="0" baseline="0">
              <a:ln w="0"/>
              <a:solidFill>
                <a:srgbClr val="FFCCFF"/>
              </a:solidFill>
              <a:effectLst>
                <a:outerShdw blurRad="38100" dist="19050" dir="2700000" algn="tl" rotWithShape="0">
                  <a:schemeClr val="dk1">
                    <a:alpha val="40000"/>
                  </a:schemeClr>
                </a:outerShdw>
              </a:effectLst>
              <a:latin typeface="Arial Black" panose="020B0A04020102020204" pitchFamily="34" charset="0"/>
            </a:rPr>
            <a:t>Politics</a:t>
          </a:r>
        </a:p>
        <a:p>
          <a:pPr algn="ctr"/>
          <a:r>
            <a:rPr lang="en-US" sz="5600" b="0" cap="none" spc="0" baseline="0">
              <a:ln w="0"/>
              <a:solidFill>
                <a:schemeClr val="bg1"/>
              </a:solidFill>
              <a:effectLst>
                <a:outerShdw blurRad="38100" dist="19050" dir="2700000" algn="tl" rotWithShape="0">
                  <a:schemeClr val="dk1">
                    <a:alpha val="40000"/>
                  </a:schemeClr>
                </a:outerShdw>
              </a:effectLst>
              <a:latin typeface="Arial Black" panose="020B0A04020102020204" pitchFamily="34" charset="0"/>
            </a:rPr>
            <a:t>advocacy</a:t>
          </a:r>
          <a:endParaRPr lang="en-US" sz="5600" b="0" cap="none" spc="0">
            <a:ln w="0"/>
            <a:solidFill>
              <a:schemeClr val="bg1"/>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1</xdr:col>
      <xdr:colOff>236220</xdr:colOff>
      <xdr:row>9</xdr:row>
      <xdr:rowOff>350520</xdr:rowOff>
    </xdr:from>
    <xdr:ext cx="5650372" cy="587661"/>
    <xdr:sp macro="" textlink="">
      <xdr:nvSpPr>
        <xdr:cNvPr id="142" name="Rectangle 141">
          <a:hlinkClick xmlns:r="http://schemas.openxmlformats.org/officeDocument/2006/relationships" r:id="rId11" tooltip="to HP tab (generic presentation of Harmony Politics)"/>
          <a:extLst>
            <a:ext uri="{FF2B5EF4-FFF2-40B4-BE49-F238E27FC236}">
              <a16:creationId xmlns:a16="http://schemas.microsoft.com/office/drawing/2014/main" id="{00000000-0008-0000-0000-00008E000000}"/>
            </a:ext>
          </a:extLst>
        </xdr:cNvPr>
        <xdr:cNvSpPr/>
      </xdr:nvSpPr>
      <xdr:spPr>
        <a:xfrm>
          <a:off x="350520" y="3710940"/>
          <a:ext cx="5650372" cy="587661"/>
        </a:xfrm>
        <a:prstGeom prst="rect">
          <a:avLst/>
        </a:prstGeom>
        <a:noFill/>
      </xdr:spPr>
      <xdr:txBody>
        <a:bodyPr wrap="square" lIns="91440" tIns="45720" rIns="91440" bIns="45720">
          <a:spAutoFit/>
        </a:bodyPr>
        <a:lstStyle/>
        <a:p>
          <a:pPr algn="l"/>
          <a:r>
            <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With</a:t>
          </a:r>
          <a:r>
            <a:rPr lang="en-US" sz="32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Harmony Politics,</a:t>
          </a:r>
          <a:endPar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2</xdr:col>
      <xdr:colOff>224932</xdr:colOff>
      <xdr:row>11</xdr:row>
      <xdr:rowOff>358140</xdr:rowOff>
    </xdr:from>
    <xdr:ext cx="5120640" cy="835229"/>
    <xdr:sp macro="" textlink="">
      <xdr:nvSpPr>
        <xdr:cNvPr id="143" name="Rectangle 142">
          <a:extLst>
            <a:ext uri="{FF2B5EF4-FFF2-40B4-BE49-F238E27FC236}">
              <a16:creationId xmlns:a16="http://schemas.microsoft.com/office/drawing/2014/main" id="{00000000-0008-0000-0000-00008F000000}"/>
            </a:ext>
          </a:extLst>
        </xdr:cNvPr>
        <xdr:cNvSpPr/>
      </xdr:nvSpPr>
      <xdr:spPr>
        <a:xfrm>
          <a:off x="842152" y="4480560"/>
          <a:ext cx="5120640" cy="835229"/>
        </a:xfrm>
        <a:prstGeom prst="rect">
          <a:avLst/>
        </a:prstGeom>
        <a:noFill/>
      </xdr:spPr>
      <xdr:txBody>
        <a:bodyPr wrap="square" lIns="91440" tIns="45720" rIns="91440" bIns="45720">
          <a:spAutoFit/>
        </a:bodyPr>
        <a:lstStyle/>
        <a:p>
          <a:pPr algn="l"/>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you</a:t>
          </a:r>
          <a:r>
            <a:rPr lang="en-US" sz="24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can address your politicized need with support to resolve it</a:t>
          </a:r>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oneCellAnchor>
  <xdr:twoCellAnchor>
    <xdr:from>
      <xdr:col>14</xdr:col>
      <xdr:colOff>0</xdr:colOff>
      <xdr:row>1046</xdr:row>
      <xdr:rowOff>119427</xdr:rowOff>
    </xdr:from>
    <xdr:to>
      <xdr:col>14</xdr:col>
      <xdr:colOff>0</xdr:colOff>
      <xdr:row>1061</xdr:row>
      <xdr:rowOff>2725</xdr:rowOff>
    </xdr:to>
    <xdr:grpSp>
      <xdr:nvGrpSpPr>
        <xdr:cNvPr id="175" name="Group 174">
          <a:extLst>
            <a:ext uri="{FF2B5EF4-FFF2-40B4-BE49-F238E27FC236}">
              <a16:creationId xmlns:a16="http://schemas.microsoft.com/office/drawing/2014/main" id="{00000000-0008-0000-0000-0000AF000000}"/>
            </a:ext>
          </a:extLst>
        </xdr:cNvPr>
        <xdr:cNvGrpSpPr/>
      </xdr:nvGrpSpPr>
      <xdr:grpSpPr>
        <a:xfrm>
          <a:off x="6263640" y="246077787"/>
          <a:ext cx="0" cy="3266578"/>
          <a:chOff x="6392386" y="162716830"/>
          <a:chExt cx="5979249" cy="3289887"/>
        </a:xfrm>
      </xdr:grpSpPr>
      <xdr:pic>
        <xdr:nvPicPr>
          <xdr:cNvPr id="176" name="Pictur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397052" y="163855054"/>
            <a:ext cx="1000502" cy="1013017"/>
          </a:xfrm>
          <a:prstGeom prst="rect">
            <a:avLst/>
          </a:prstGeom>
        </xdr:spPr>
      </xdr:pic>
      <xdr:pic>
        <xdr:nvPicPr>
          <xdr:cNvPr id="177" name="Picture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394666" y="162716830"/>
            <a:ext cx="1000502" cy="1013017"/>
          </a:xfrm>
          <a:prstGeom prst="rect">
            <a:avLst/>
          </a:prstGeom>
        </xdr:spPr>
      </xdr:pic>
      <xdr:pic>
        <xdr:nvPicPr>
          <xdr:cNvPr id="178" name="Pictur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392386" y="164993700"/>
            <a:ext cx="1000502" cy="1013017"/>
          </a:xfrm>
          <a:prstGeom prst="rect">
            <a:avLst/>
          </a:prstGeom>
        </xdr:spPr>
      </xdr:pic>
      <xdr:pic>
        <xdr:nvPicPr>
          <xdr:cNvPr id="179" name="Pictur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9398978" y="163855477"/>
            <a:ext cx="1000502" cy="1013017"/>
          </a:xfrm>
          <a:prstGeom prst="rect">
            <a:avLst/>
          </a:prstGeom>
        </xdr:spPr>
      </xdr:pic>
      <xdr:pic>
        <xdr:nvPicPr>
          <xdr:cNvPr id="180" name="Pictur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396591" y="164988866"/>
            <a:ext cx="1000502" cy="1013017"/>
          </a:xfrm>
          <a:prstGeom prst="rect">
            <a:avLst/>
          </a:prstGeom>
        </xdr:spPr>
      </xdr:pic>
      <xdr:pic>
        <xdr:nvPicPr>
          <xdr:cNvPr id="181" name="Picture 180">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9398559" y="162719247"/>
            <a:ext cx="1000502" cy="1013017"/>
          </a:xfrm>
          <a:prstGeom prst="rect">
            <a:avLst/>
          </a:prstGeom>
        </xdr:spPr>
      </xdr:pic>
      <xdr:sp macro="" textlink="">
        <xdr:nvSpPr>
          <xdr:cNvPr id="182" name="TextBox 181">
            <a:extLst>
              <a:ext uri="{FF2B5EF4-FFF2-40B4-BE49-F238E27FC236}">
                <a16:creationId xmlns:a16="http://schemas.microsoft.com/office/drawing/2014/main" id="{00000000-0008-0000-0000-0000B6000000}"/>
              </a:ext>
            </a:extLst>
          </xdr:cNvPr>
          <xdr:cNvSpPr txBox="1"/>
        </xdr:nvSpPr>
        <xdr:spPr>
          <a:xfrm>
            <a:off x="7405352" y="165013883"/>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Exaction Invoice</a:t>
            </a:r>
          </a:p>
          <a:p>
            <a:r>
              <a:rPr lang="en-US" sz="1000" baseline="0">
                <a:solidFill>
                  <a:schemeClr val="dk1"/>
                </a:solidFill>
                <a:latin typeface="Cambria" panose="02040503050406030204" pitchFamily="18" charset="0"/>
                <a:ea typeface="Cambria" panose="02040503050406030204" pitchFamily="18" charset="0"/>
                <a:cs typeface="+mn-cs"/>
              </a:rPr>
              <a:t>Identify and report hidden costs of  coerced compliance. Put a price on power's negative influence on you. Hold power accountable.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3" name="TextBox 182">
            <a:extLst>
              <a:ext uri="{FF2B5EF4-FFF2-40B4-BE49-F238E27FC236}">
                <a16:creationId xmlns:a16="http://schemas.microsoft.com/office/drawing/2014/main" id="{00000000-0008-0000-0000-0000B7000000}"/>
              </a:ext>
            </a:extLst>
          </xdr:cNvPr>
          <xdr:cNvSpPr txBox="1"/>
        </xdr:nvSpPr>
        <xdr:spPr>
          <a:xfrm>
            <a:off x="7405352" y="162765237"/>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Harmony Politics</a:t>
            </a:r>
          </a:p>
          <a:p>
            <a:r>
              <a:rPr lang="en-US" sz="1000" baseline="0">
                <a:solidFill>
                  <a:schemeClr val="dk1"/>
                </a:solidFill>
                <a:latin typeface="Cambria" panose="02040503050406030204" pitchFamily="18" charset="0"/>
                <a:ea typeface="Cambria" panose="02040503050406030204" pitchFamily="18" charset="0"/>
                <a:cs typeface="+mn-cs"/>
              </a:rPr>
              <a:t>Link your political outlook to your psychosocial and other publicly affected needs. Empathize fully with both politcal sides.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4" name="TextBox 183">
            <a:extLst>
              <a:ext uri="{FF2B5EF4-FFF2-40B4-BE49-F238E27FC236}">
                <a16:creationId xmlns:a16="http://schemas.microsoft.com/office/drawing/2014/main" id="{00000000-0008-0000-0000-0000B8000000}"/>
              </a:ext>
            </a:extLst>
          </xdr:cNvPr>
          <xdr:cNvSpPr txBox="1"/>
        </xdr:nvSpPr>
        <xdr:spPr>
          <a:xfrm>
            <a:off x="10408528" y="162720414"/>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Grow Resilience</a:t>
            </a:r>
          </a:p>
          <a:p>
            <a:r>
              <a:rPr lang="en-US" sz="1000" baseline="0">
                <a:solidFill>
                  <a:schemeClr val="dk1"/>
                </a:solidFill>
                <a:latin typeface="Cambria" panose="02040503050406030204" pitchFamily="18" charset="0"/>
                <a:ea typeface="Cambria" panose="02040503050406030204" pitchFamily="18" charset="0"/>
                <a:cs typeface="+mn-cs"/>
              </a:rPr>
              <a:t>Expand your comfort zone. Help your client grow out of their stifling comfort zone. Resolve more needs. Reach more potential.</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5" name="TextBox 184">
            <a:extLst>
              <a:ext uri="{FF2B5EF4-FFF2-40B4-BE49-F238E27FC236}">
                <a16:creationId xmlns:a16="http://schemas.microsoft.com/office/drawing/2014/main" id="{00000000-0008-0000-0000-0000B9000000}"/>
              </a:ext>
            </a:extLst>
          </xdr:cNvPr>
          <xdr:cNvSpPr txBox="1"/>
        </xdr:nvSpPr>
        <xdr:spPr>
          <a:xfrm>
            <a:off x="10408528"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Legitimacy Audit</a:t>
            </a:r>
          </a:p>
          <a:p>
            <a:r>
              <a:rPr lang="en-US" sz="1000" baseline="0">
                <a:solidFill>
                  <a:schemeClr val="dk1"/>
                </a:solidFill>
                <a:latin typeface="Cambria" panose="02040503050406030204" pitchFamily="18" charset="0"/>
                <a:ea typeface="Cambria" panose="02040503050406030204" pitchFamily="18" charset="0"/>
                <a:cs typeface="+mn-cs"/>
              </a:rPr>
              <a:t>Check various authority's level of responsiveness to entrusted needs. Link that gaged responsiveness to how willingly involved in your life.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6" name="TextBox 185">
            <a:extLst>
              <a:ext uri="{FF2B5EF4-FFF2-40B4-BE49-F238E27FC236}">
                <a16:creationId xmlns:a16="http://schemas.microsoft.com/office/drawing/2014/main" id="{00000000-0008-0000-0000-0000BA000000}"/>
              </a:ext>
            </a:extLst>
          </xdr:cNvPr>
          <xdr:cNvSpPr txBox="1"/>
        </xdr:nvSpPr>
        <xdr:spPr>
          <a:xfrm>
            <a:off x="7405351"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Four Seasons</a:t>
            </a:r>
          </a:p>
          <a:p>
            <a:r>
              <a:rPr lang="en-US" sz="1000" baseline="0">
                <a:solidFill>
                  <a:schemeClr val="dk1"/>
                </a:solidFill>
                <a:latin typeface="Cambria" panose="02040503050406030204" pitchFamily="18" charset="0"/>
                <a:ea typeface="Cambria" panose="02040503050406030204" pitchFamily="18" charset="0"/>
                <a:cs typeface="+mn-cs"/>
              </a:rPr>
              <a:t>Enter your birthdate and see your life's seasonal patterns. See how your affected psychosocial needs shapes your political outtlook.</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7" name="TextBox 186">
            <a:extLst>
              <a:ext uri="{FF2B5EF4-FFF2-40B4-BE49-F238E27FC236}">
                <a16:creationId xmlns:a16="http://schemas.microsoft.com/office/drawing/2014/main" id="{00000000-0008-0000-0000-0000BB000000}"/>
              </a:ext>
            </a:extLst>
          </xdr:cNvPr>
          <xdr:cNvSpPr txBox="1"/>
        </xdr:nvSpPr>
        <xdr:spPr>
          <a:xfrm>
            <a:off x="10408528" y="16500641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Liberty Avowal</a:t>
            </a:r>
          </a:p>
          <a:p>
            <a:r>
              <a:rPr lang="en-US" sz="1000" baseline="0">
                <a:solidFill>
                  <a:schemeClr val="dk1"/>
                </a:solidFill>
                <a:latin typeface="Cambria" panose="02040503050406030204" pitchFamily="18" charset="0"/>
                <a:ea typeface="Cambria" panose="02040503050406030204" pitchFamily="18" charset="0"/>
                <a:cs typeface="+mn-cs"/>
              </a:rPr>
              <a:t>Declare your liberty resolve needs. Replace alienation of impersonal norms with a loving passion to resolve each other's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8" name="TextBox 187">
            <a:extLst>
              <a:ext uri="{FF2B5EF4-FFF2-40B4-BE49-F238E27FC236}">
                <a16:creationId xmlns:a16="http://schemas.microsoft.com/office/drawing/2014/main" id="{00000000-0008-0000-0000-0000BC000000}"/>
              </a:ext>
            </a:extLst>
          </xdr:cNvPr>
          <xdr:cNvSpPr txBox="1"/>
        </xdr:nvSpPr>
        <xdr:spPr>
          <a:xfrm>
            <a:off x="10400944" y="16273576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Innocence Validity</a:t>
            </a:r>
          </a:p>
          <a:p>
            <a:r>
              <a:rPr lang="en-US" sz="1000" baseline="0">
                <a:solidFill>
                  <a:schemeClr val="dk1"/>
                </a:solidFill>
                <a:latin typeface="Cambria" panose="02040503050406030204" pitchFamily="18" charset="0"/>
                <a:ea typeface="Cambria" panose="02040503050406030204" pitchFamily="18" charset="0"/>
                <a:cs typeface="+mn-cs"/>
              </a:rPr>
              <a:t>For the countless wrongly convicted who are not yet exonerated. Enter case details, and share its calculated estimate of innocence with others.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grpSp>
    <xdr:clientData/>
  </xdr:twoCellAnchor>
  <xdr:twoCellAnchor>
    <xdr:from>
      <xdr:col>1</xdr:col>
      <xdr:colOff>11071</xdr:colOff>
      <xdr:row>1074</xdr:row>
      <xdr:rowOff>13593</xdr:rowOff>
    </xdr:from>
    <xdr:to>
      <xdr:col>13</xdr:col>
      <xdr:colOff>12326</xdr:colOff>
      <xdr:row>1077</xdr:row>
      <xdr:rowOff>113101</xdr:rowOff>
    </xdr:to>
    <xdr:sp macro="" textlink="">
      <xdr:nvSpPr>
        <xdr:cNvPr id="190" name="TextBox 189">
          <a:hlinkClick xmlns:r="http://schemas.openxmlformats.org/officeDocument/2006/relationships" r:id="rId18" tooltip="go to Value Relating website"/>
          <a:extLst>
            <a:ext uri="{FF2B5EF4-FFF2-40B4-BE49-F238E27FC236}">
              <a16:creationId xmlns:a16="http://schemas.microsoft.com/office/drawing/2014/main" id="{00000000-0008-0000-0000-0000BE000000}"/>
            </a:ext>
          </a:extLst>
        </xdr:cNvPr>
        <xdr:cNvSpPr txBox="1"/>
      </xdr:nvSpPr>
      <xdr:spPr>
        <a:xfrm>
          <a:off x="125371" y="168933753"/>
          <a:ext cx="6036295" cy="510988"/>
        </a:xfrm>
        <a:prstGeom prst="rect">
          <a:avLst/>
        </a:prstGeom>
        <a:gradFill flip="none" rotWithShape="1">
          <a:gsLst>
            <a:gs pos="35000">
              <a:srgbClr val="E1FFEB"/>
            </a:gs>
            <a:gs pos="0">
              <a:srgbClr val="E1FFEB"/>
            </a:gs>
            <a:gs pos="75000">
              <a:srgbClr val="64FFA5">
                <a:shade val="67500"/>
                <a:satMod val="115000"/>
              </a:srgbClr>
            </a:gs>
            <a:gs pos="100000">
              <a:srgbClr val="64FFA5">
                <a:shade val="100000"/>
                <a:satMod val="115000"/>
              </a:srgbClr>
            </a:gs>
          </a:gsLst>
          <a:path path="circle">
            <a:fillToRect l="50000" t="50000" r="50000" b="50000"/>
          </a:path>
          <a:tileRect/>
        </a:gradFill>
        <a:ln w="12700" cmpd="sng">
          <a:solidFill>
            <a:srgbClr val="A0FFCD"/>
          </a:solidFill>
        </a:ln>
        <a:effectLst>
          <a:glow rad="25400">
            <a:srgbClr val="E1FFEB"/>
          </a:glow>
        </a:effectLst>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ctr"/>
        <a:lstStyle/>
        <a:p>
          <a:pPr algn="ctr"/>
          <a:r>
            <a:rPr lang="en-US" sz="2000" b="1">
              <a:ln>
                <a:solidFill>
                  <a:srgbClr val="004623"/>
                </a:solidFill>
              </a:ln>
              <a:solidFill>
                <a:srgbClr val="00C864"/>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Value</a:t>
          </a:r>
          <a:r>
            <a:rPr lang="en-US" sz="2000" b="1">
              <a:solidFill>
                <a:srgbClr val="2D143C"/>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 </a:t>
          </a:r>
          <a:r>
            <a:rPr lang="en-US" sz="2000" b="1">
              <a:ln>
                <a:solidFill>
                  <a:srgbClr val="2D143C"/>
                </a:solidFill>
              </a:ln>
              <a:solidFill>
                <a:srgbClr val="7030A0"/>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Relating</a:t>
          </a:r>
        </a:p>
        <a:p>
          <a:pPr algn="ctr"/>
          <a:r>
            <a:rPr lang="en-US" sz="100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solving problems by resolving</a:t>
          </a:r>
          <a:r>
            <a:rPr lang="en-US" sz="1000" b="1" spc="-20" baseline="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 needs</a:t>
          </a:r>
          <a:endParaRPr lang="en-US" sz="105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endParaRPr>
        </a:p>
      </xdr:txBody>
    </xdr:sp>
    <xdr:clientData/>
  </xdr:twoCellAnchor>
  <xdr:twoCellAnchor>
    <xdr:from>
      <xdr:col>0</xdr:col>
      <xdr:colOff>107452</xdr:colOff>
      <xdr:row>1071</xdr:row>
      <xdr:rowOff>255050</xdr:rowOff>
    </xdr:from>
    <xdr:to>
      <xdr:col>12</xdr:col>
      <xdr:colOff>497178</xdr:colOff>
      <xdr:row>1073</xdr:row>
      <xdr:rowOff>407450</xdr:rowOff>
    </xdr:to>
    <xdr:grpSp>
      <xdr:nvGrpSpPr>
        <xdr:cNvPr id="202" name="Group 201">
          <a:extLst>
            <a:ext uri="{FF2B5EF4-FFF2-40B4-BE49-F238E27FC236}">
              <a16:creationId xmlns:a16="http://schemas.microsoft.com/office/drawing/2014/main" id="{00000000-0008-0000-0000-0000CA000000}"/>
            </a:ext>
          </a:extLst>
        </xdr:cNvPr>
        <xdr:cNvGrpSpPr/>
      </xdr:nvGrpSpPr>
      <xdr:grpSpPr>
        <a:xfrm>
          <a:off x="107452" y="251981750"/>
          <a:ext cx="6036146" cy="906780"/>
          <a:chOff x="99981" y="169615972"/>
          <a:chExt cx="6007608" cy="914400"/>
        </a:xfrm>
      </xdr:grpSpPr>
      <xdr:sp macro="" textlink="">
        <xdr:nvSpPr>
          <xdr:cNvPr id="203" name="TextBox 202">
            <a:extLst>
              <a:ext uri="{FF2B5EF4-FFF2-40B4-BE49-F238E27FC236}">
                <a16:creationId xmlns:a16="http://schemas.microsoft.com/office/drawing/2014/main" id="{00000000-0008-0000-0000-0000CB000000}"/>
              </a:ext>
            </a:extLst>
          </xdr:cNvPr>
          <xdr:cNvSpPr txBox="1"/>
        </xdr:nvSpPr>
        <xdr:spPr>
          <a:xfrm>
            <a:off x="99981" y="169615972"/>
            <a:ext cx="6007608" cy="914400"/>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Ins="914400" rtlCol="0" anchor="t"/>
          <a:lstStyle/>
          <a:p>
            <a:r>
              <a:rPr lang="en-US" sz="1000" b="1">
                <a:solidFill>
                  <a:srgbClr val="E1FFEB"/>
                </a:solidFill>
                <a:latin typeface="Tahoma" panose="020B0604030504040204" pitchFamily="34" charset="0"/>
                <a:ea typeface="Tahoma" panose="020B0604030504040204" pitchFamily="34" charset="0"/>
                <a:cs typeface="Tahoma" panose="020B0604030504040204" pitchFamily="34" charset="0"/>
              </a:rPr>
              <a:t>Steph Turner </a:t>
            </a:r>
            <a:r>
              <a:rPr lang="en-US" sz="1000">
                <a:solidFill>
                  <a:srgbClr val="E1FFEB"/>
                </a:solidFill>
                <a:latin typeface="Tahoma" panose="020B0604030504040204" pitchFamily="34" charset="0"/>
                <a:ea typeface="Tahoma" panose="020B0604030504040204" pitchFamily="34" charset="0"/>
                <a:cs typeface="Tahoma" panose="020B0604030504040204" pitchFamily="34" charset="0"/>
              </a:rPr>
              <a:t>is neither liberal nor conservative,</a:t>
            </a:r>
            <a:r>
              <a:rPr lang="en-US" sz="1000" baseline="0">
                <a:solidFill>
                  <a:srgbClr val="E1FFEB"/>
                </a:solidFill>
                <a:latin typeface="Tahoma" panose="020B0604030504040204" pitchFamily="34" charset="0"/>
                <a:ea typeface="Tahoma" panose="020B0604030504040204" pitchFamily="34" charset="0"/>
                <a:cs typeface="Tahoma" panose="020B0604030504040204" pitchFamily="34" charset="0"/>
              </a:rPr>
              <a:t> but "transpolitical." Steph identifies as a "transspirit" who is spiritually compelled to transcend divisive categories, to integrate complementary sides into a resolving whole. That includes transcending the generalized political left-rigth binary and transcending the generalized politial populace-elite binary. </a:t>
            </a:r>
            <a:endParaRPr lang="en-US" sz="1000">
              <a:solidFill>
                <a:srgbClr val="E1FFEB"/>
              </a:solidFill>
              <a:latin typeface="Tahoma" panose="020B0604030504040204" pitchFamily="34" charset="0"/>
              <a:ea typeface="Tahoma" panose="020B0604030504040204" pitchFamily="34" charset="0"/>
              <a:cs typeface="Tahoma" panose="020B0604030504040204" pitchFamily="34" charset="0"/>
            </a:endParaRPr>
          </a:p>
        </xdr:txBody>
      </xdr:sp>
      <xdr:pic>
        <xdr:nvPicPr>
          <xdr:cNvPr id="204" name="Picture 203">
            <a:hlinkClick xmlns:r="http://schemas.openxmlformats.org/officeDocument/2006/relationships" r:id="rId19" tooltip="to About page at Value Relating"/>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277251" y="169664528"/>
            <a:ext cx="774756" cy="772467"/>
          </a:xfrm>
          <a:prstGeom prst="rect">
            <a:avLst/>
          </a:prstGeom>
          <a:effectLst>
            <a:outerShdw blurRad="63500" sx="102000" sy="102000" algn="ctr" rotWithShape="0">
              <a:prstClr val="black">
                <a:alpha val="40000"/>
              </a:prstClr>
            </a:outerShdw>
            <a:softEdge rad="31750"/>
          </a:effectLst>
        </xdr:spPr>
      </xdr:pic>
    </xdr:grpSp>
    <xdr:clientData/>
  </xdr:twoCellAnchor>
  <xdr:twoCellAnchor>
    <xdr:from>
      <xdr:col>0</xdr:col>
      <xdr:colOff>112058</xdr:colOff>
      <xdr:row>1067</xdr:row>
      <xdr:rowOff>140075</xdr:rowOff>
    </xdr:from>
    <xdr:to>
      <xdr:col>13</xdr:col>
      <xdr:colOff>1254</xdr:colOff>
      <xdr:row>1071</xdr:row>
      <xdr:rowOff>201944</xdr:rowOff>
    </xdr:to>
    <xdr:grpSp>
      <xdr:nvGrpSpPr>
        <xdr:cNvPr id="205" name="Group 204">
          <a:extLst>
            <a:ext uri="{FF2B5EF4-FFF2-40B4-BE49-F238E27FC236}">
              <a16:creationId xmlns:a16="http://schemas.microsoft.com/office/drawing/2014/main" id="{00000000-0008-0000-0000-0000CD000000}"/>
            </a:ext>
          </a:extLst>
        </xdr:cNvPr>
        <xdr:cNvGrpSpPr/>
      </xdr:nvGrpSpPr>
      <xdr:grpSpPr>
        <a:xfrm>
          <a:off x="112058" y="250860935"/>
          <a:ext cx="6038536" cy="1067709"/>
          <a:chOff x="112058" y="166022096"/>
          <a:chExt cx="6007608" cy="1072939"/>
        </a:xfrm>
      </xdr:grpSpPr>
      <xdr:sp macro="" textlink="">
        <xdr:nvSpPr>
          <xdr:cNvPr id="206" name="Text Box 1">
            <a:hlinkClick xmlns:r="http://schemas.openxmlformats.org/officeDocument/2006/relationships" r:id="rId21"/>
            <a:extLst>
              <a:ext uri="{FF2B5EF4-FFF2-40B4-BE49-F238E27FC236}">
                <a16:creationId xmlns:a16="http://schemas.microsoft.com/office/drawing/2014/main" id="{00000000-0008-0000-0000-0000CE000000}"/>
              </a:ext>
            </a:extLst>
          </xdr:cNvPr>
          <xdr:cNvSpPr txBox="1"/>
        </xdr:nvSpPr>
        <xdr:spPr>
          <a:xfrm>
            <a:off x="112058" y="166133979"/>
            <a:ext cx="6007608" cy="833697"/>
          </a:xfrm>
          <a:prstGeom prst="rect">
            <a:avLst/>
          </a:prstGeom>
          <a:solidFill>
            <a:srgbClr val="E29BFF"/>
          </a:solidFill>
          <a:ln w="6350">
            <a:noFill/>
          </a:ln>
          <a:effectLst/>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2400" b="1" spc="100" baseline="0">
                <a:solidFill>
                  <a:srgbClr val="281437"/>
                </a:solidFill>
                <a:effectLst/>
                <a:latin typeface="Tahoma" panose="020B0604030504040204" pitchFamily="34" charset="0"/>
                <a:ea typeface="Tahoma" panose="020B0604030504040204" pitchFamily="34" charset="0"/>
                <a:cs typeface="Tahoma" panose="020B0604030504040204" pitchFamily="34" charset="0"/>
              </a:rPr>
              <a:t>You NEED This</a:t>
            </a:r>
          </a:p>
          <a:p>
            <a:pPr marL="0" marR="0" algn="r">
              <a:spcBef>
                <a:spcPts val="0"/>
              </a:spcBef>
              <a:spcAft>
                <a:spcPts val="0"/>
              </a:spcAft>
            </a:pPr>
            <a:r>
              <a:rPr lang="en-US" sz="1200" b="1">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Introducing</a:t>
            </a:r>
            <a:r>
              <a:rPr lang="en-US" sz="1200" b="1" baseline="0">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 Anankelogy, the study of need</a:t>
            </a:r>
            <a:endParaRPr lang="en-US" sz="1200">
              <a:solidFill>
                <a:srgbClr val="281437"/>
              </a:solidFill>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r">
              <a:spcBef>
                <a:spcPts val="0"/>
              </a:spcBef>
              <a:spcAft>
                <a:spcPts val="0"/>
              </a:spcAft>
            </a:pPr>
            <a:r>
              <a:rPr lang="en-US" sz="900">
                <a:effectLst/>
                <a:latin typeface="Tahoma" panose="020B0604030504040204" pitchFamily="34" charset="0"/>
                <a:ea typeface="Tahoma" panose="020B0604030504040204" pitchFamily="34" charset="0"/>
                <a:cs typeface="Tahoma" panose="020B0604030504040204" pitchFamily="34" charset="0"/>
              </a:rPr>
              <a:t>Set for</a:t>
            </a:r>
            <a:r>
              <a:rPr lang="en-US" sz="900" baseline="0">
                <a:effectLst/>
                <a:latin typeface="Tahoma" panose="020B0604030504040204" pitchFamily="34" charset="0"/>
                <a:ea typeface="Tahoma" panose="020B0604030504040204" pitchFamily="34" charset="0"/>
                <a:cs typeface="Tahoma" panose="020B0604030504040204" pitchFamily="34" charset="0"/>
              </a:rPr>
              <a:t> publication on June 20, 2021.</a:t>
            </a:r>
            <a:endParaRPr lang="en-US" sz="900">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207" name="Picture 206">
            <a:hlinkClick xmlns:r="http://schemas.openxmlformats.org/officeDocument/2006/relationships" r:id="rId21"/>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22"/>
          <a:stretch>
            <a:fillRect/>
          </a:stretch>
        </xdr:blipFill>
        <xdr:spPr>
          <a:xfrm rot="295834">
            <a:off x="247342" y="166022096"/>
            <a:ext cx="713748" cy="1072939"/>
          </a:xfrm>
          <a:prstGeom prst="rect">
            <a:avLst/>
          </a:prstGeom>
          <a:effectLst>
            <a:outerShdw blurRad="50800" dist="38100" dir="2700000" algn="tl" rotWithShape="0">
              <a:prstClr val="black">
                <a:alpha val="40000"/>
              </a:prstClr>
            </a:outerShdw>
          </a:effectLst>
        </xdr:spPr>
      </xdr:pic>
      <xdr:sp macro="" textlink="">
        <xdr:nvSpPr>
          <xdr:cNvPr id="208" name="Rectangle: Rounded Corners 207">
            <a:hlinkClick xmlns:r="http://schemas.openxmlformats.org/officeDocument/2006/relationships" r:id="rId21"/>
            <a:extLst>
              <a:ext uri="{FF2B5EF4-FFF2-40B4-BE49-F238E27FC236}">
                <a16:creationId xmlns:a16="http://schemas.microsoft.com/office/drawing/2014/main" id="{00000000-0008-0000-0000-0000D0000000}"/>
              </a:ext>
            </a:extLst>
          </xdr:cNvPr>
          <xdr:cNvSpPr/>
        </xdr:nvSpPr>
        <xdr:spPr>
          <a:xfrm>
            <a:off x="1172883" y="166190707"/>
            <a:ext cx="1576295" cy="724647"/>
          </a:xfrm>
          <a:prstGeom prst="roundRect">
            <a:avLst>
              <a:gd name="adj" fmla="val 50000"/>
            </a:avLst>
          </a:prstGeom>
          <a:solidFill>
            <a:srgbClr val="78FFB4"/>
          </a:solidFill>
          <a:ln w="57150">
            <a:solidFill>
              <a:schemeClr val="bg1"/>
            </a:solidFill>
          </a:ln>
          <a:effectLst>
            <a:innerShdw blurRad="114300">
              <a:prstClr val="black"/>
            </a:innerShdw>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000">
                <a:effectLst/>
                <a:latin typeface="Tahoma" panose="020B0604030504040204" pitchFamily="34" charset="0"/>
                <a:ea typeface="Tahoma" panose="020B0604030504040204" pitchFamily="34" charset="0"/>
                <a:cs typeface="Tahoma" panose="020B0604030504040204" pitchFamily="34" charset="0"/>
              </a:rPr>
              <a:t>Steph is also the author of the forthcoming</a:t>
            </a:r>
            <a:r>
              <a:rPr lang="en-US" sz="1000" baseline="0">
                <a:effectLst/>
                <a:latin typeface="Tahoma" panose="020B0604030504040204" pitchFamily="34" charset="0"/>
                <a:ea typeface="Tahoma" panose="020B0604030504040204" pitchFamily="34" charset="0"/>
                <a:cs typeface="Tahoma" panose="020B0604030504040204" pitchFamily="34" charset="0"/>
              </a:rPr>
              <a:t> book </a:t>
            </a:r>
            <a:r>
              <a:rPr lang="en-US" sz="1000" b="1" i="1" baseline="0">
                <a:effectLst/>
                <a:latin typeface="Tahoma" panose="020B0604030504040204" pitchFamily="34" charset="0"/>
                <a:ea typeface="Tahoma" panose="020B0604030504040204" pitchFamily="34" charset="0"/>
                <a:cs typeface="Tahoma" panose="020B0604030504040204" pitchFamily="34" charset="0"/>
              </a:rPr>
              <a:t>You NEED This</a:t>
            </a:r>
            <a:r>
              <a:rPr lang="en-US" sz="1000" baseline="0">
                <a:effectLst/>
                <a:latin typeface="Tahoma" panose="020B0604030504040204" pitchFamily="34" charset="0"/>
                <a:ea typeface="Tahoma" panose="020B0604030504040204" pitchFamily="34" charset="0"/>
                <a:cs typeface="Tahoma" panose="020B0604030504040204" pitchFamily="34" charset="0"/>
              </a:rPr>
              <a:t>. </a:t>
            </a:r>
            <a:endParaRPr lang="en-US" sz="6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23</xdr:col>
      <xdr:colOff>468163</xdr:colOff>
      <xdr:row>567</xdr:row>
      <xdr:rowOff>66104</xdr:rowOff>
    </xdr:from>
    <xdr:to>
      <xdr:col>26</xdr:col>
      <xdr:colOff>488215</xdr:colOff>
      <xdr:row>567</xdr:row>
      <xdr:rowOff>300185</xdr:rowOff>
    </xdr:to>
    <xdr:sp macro="" textlink="">
      <xdr:nvSpPr>
        <xdr:cNvPr id="210" name="Arrow: Left 209">
          <a:hlinkClick xmlns:r="http://schemas.openxmlformats.org/officeDocument/2006/relationships" r:id="rId2" tooltip="back to Harmony Politics tab"/>
          <a:extLst>
            <a:ext uri="{FF2B5EF4-FFF2-40B4-BE49-F238E27FC236}">
              <a16:creationId xmlns:a16="http://schemas.microsoft.com/office/drawing/2014/main" id="{00000000-0008-0000-0000-0000D2000000}"/>
            </a:ext>
          </a:extLst>
        </xdr:cNvPr>
        <xdr:cNvSpPr/>
      </xdr:nvSpPr>
      <xdr:spPr>
        <a:xfrm>
          <a:off x="6263640" y="7644136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748</xdr:row>
      <xdr:rowOff>66104</xdr:rowOff>
    </xdr:from>
    <xdr:to>
      <xdr:col>26</xdr:col>
      <xdr:colOff>488215</xdr:colOff>
      <xdr:row>748</xdr:row>
      <xdr:rowOff>300185</xdr:rowOff>
    </xdr:to>
    <xdr:sp macro="" textlink="">
      <xdr:nvSpPr>
        <xdr:cNvPr id="211" name="Arrow: Left 210">
          <a:hlinkClick xmlns:r="http://schemas.openxmlformats.org/officeDocument/2006/relationships" r:id="rId2" tooltip="back to Harmony Politics tab"/>
          <a:extLst>
            <a:ext uri="{FF2B5EF4-FFF2-40B4-BE49-F238E27FC236}">
              <a16:creationId xmlns:a16="http://schemas.microsoft.com/office/drawing/2014/main" id="{00000000-0008-0000-0000-0000D3000000}"/>
            </a:ext>
          </a:extLst>
        </xdr:cNvPr>
        <xdr:cNvSpPr/>
      </xdr:nvSpPr>
      <xdr:spPr>
        <a:xfrm>
          <a:off x="6263640" y="849605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782</xdr:row>
      <xdr:rowOff>66104</xdr:rowOff>
    </xdr:from>
    <xdr:to>
      <xdr:col>26</xdr:col>
      <xdr:colOff>488215</xdr:colOff>
      <xdr:row>782</xdr:row>
      <xdr:rowOff>300185</xdr:rowOff>
    </xdr:to>
    <xdr:sp macro="" textlink="">
      <xdr:nvSpPr>
        <xdr:cNvPr id="212" name="Arrow: Left 211">
          <a:hlinkClick xmlns:r="http://schemas.openxmlformats.org/officeDocument/2006/relationships" r:id="rId2" tooltip="back to Harmony Politics tab"/>
          <a:extLst>
            <a:ext uri="{FF2B5EF4-FFF2-40B4-BE49-F238E27FC236}">
              <a16:creationId xmlns:a16="http://schemas.microsoft.com/office/drawing/2014/main" id="{00000000-0008-0000-0000-0000D4000000}"/>
            </a:ext>
          </a:extLst>
        </xdr:cNvPr>
        <xdr:cNvSpPr/>
      </xdr:nvSpPr>
      <xdr:spPr>
        <a:xfrm>
          <a:off x="6263640" y="1018007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818</xdr:row>
      <xdr:rowOff>66104</xdr:rowOff>
    </xdr:from>
    <xdr:to>
      <xdr:col>26</xdr:col>
      <xdr:colOff>488215</xdr:colOff>
      <xdr:row>818</xdr:row>
      <xdr:rowOff>300185</xdr:rowOff>
    </xdr:to>
    <xdr:sp macro="" textlink="">
      <xdr:nvSpPr>
        <xdr:cNvPr id="213" name="Arrow: Left 212">
          <a:hlinkClick xmlns:r="http://schemas.openxmlformats.org/officeDocument/2006/relationships" r:id="rId2" tooltip="back to Harmony Politics tab"/>
          <a:extLst>
            <a:ext uri="{FF2B5EF4-FFF2-40B4-BE49-F238E27FC236}">
              <a16:creationId xmlns:a16="http://schemas.microsoft.com/office/drawing/2014/main" id="{00000000-0008-0000-0000-0000D5000000}"/>
            </a:ext>
          </a:extLst>
        </xdr:cNvPr>
        <xdr:cNvSpPr/>
      </xdr:nvSpPr>
      <xdr:spPr>
        <a:xfrm>
          <a:off x="6263640" y="1102208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853</xdr:row>
      <xdr:rowOff>66104</xdr:rowOff>
    </xdr:from>
    <xdr:to>
      <xdr:col>26</xdr:col>
      <xdr:colOff>488215</xdr:colOff>
      <xdr:row>853</xdr:row>
      <xdr:rowOff>300185</xdr:rowOff>
    </xdr:to>
    <xdr:sp macro="" textlink="">
      <xdr:nvSpPr>
        <xdr:cNvPr id="214" name="Arrow: Left 213">
          <a:hlinkClick xmlns:r="http://schemas.openxmlformats.org/officeDocument/2006/relationships" r:id="rId2" tooltip="back to Harmony Politics tab"/>
          <a:extLst>
            <a:ext uri="{FF2B5EF4-FFF2-40B4-BE49-F238E27FC236}">
              <a16:creationId xmlns:a16="http://schemas.microsoft.com/office/drawing/2014/main" id="{00000000-0008-0000-0000-0000D6000000}"/>
            </a:ext>
          </a:extLst>
        </xdr:cNvPr>
        <xdr:cNvSpPr/>
      </xdr:nvSpPr>
      <xdr:spPr>
        <a:xfrm>
          <a:off x="6263640" y="1186104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892</xdr:row>
      <xdr:rowOff>66104</xdr:rowOff>
    </xdr:from>
    <xdr:to>
      <xdr:col>26</xdr:col>
      <xdr:colOff>488215</xdr:colOff>
      <xdr:row>892</xdr:row>
      <xdr:rowOff>300185</xdr:rowOff>
    </xdr:to>
    <xdr:sp macro="" textlink="">
      <xdr:nvSpPr>
        <xdr:cNvPr id="215" name="Arrow: Left 214">
          <a:hlinkClick xmlns:r="http://schemas.openxmlformats.org/officeDocument/2006/relationships" r:id="rId2" tooltip="back to Harmony Politics tab"/>
          <a:extLst>
            <a:ext uri="{FF2B5EF4-FFF2-40B4-BE49-F238E27FC236}">
              <a16:creationId xmlns:a16="http://schemas.microsoft.com/office/drawing/2014/main" id="{00000000-0008-0000-0000-0000D7000000}"/>
            </a:ext>
          </a:extLst>
        </xdr:cNvPr>
        <xdr:cNvSpPr/>
      </xdr:nvSpPr>
      <xdr:spPr>
        <a:xfrm>
          <a:off x="6263640" y="1271448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965</xdr:row>
      <xdr:rowOff>66104</xdr:rowOff>
    </xdr:from>
    <xdr:to>
      <xdr:col>26</xdr:col>
      <xdr:colOff>488215</xdr:colOff>
      <xdr:row>965</xdr:row>
      <xdr:rowOff>300185</xdr:rowOff>
    </xdr:to>
    <xdr:sp macro="" textlink="">
      <xdr:nvSpPr>
        <xdr:cNvPr id="216" name="Arrow: Left 215">
          <a:hlinkClick xmlns:r="http://schemas.openxmlformats.org/officeDocument/2006/relationships" r:id="rId2" tooltip="back to Harmony Politics tab"/>
          <a:extLst>
            <a:ext uri="{FF2B5EF4-FFF2-40B4-BE49-F238E27FC236}">
              <a16:creationId xmlns:a16="http://schemas.microsoft.com/office/drawing/2014/main" id="{00000000-0008-0000-0000-0000D8000000}"/>
            </a:ext>
          </a:extLst>
        </xdr:cNvPr>
        <xdr:cNvSpPr/>
      </xdr:nvSpPr>
      <xdr:spPr>
        <a:xfrm>
          <a:off x="6263640" y="1356792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1008</xdr:row>
      <xdr:rowOff>66104</xdr:rowOff>
    </xdr:from>
    <xdr:to>
      <xdr:col>26</xdr:col>
      <xdr:colOff>488215</xdr:colOff>
      <xdr:row>1008</xdr:row>
      <xdr:rowOff>300185</xdr:rowOff>
    </xdr:to>
    <xdr:sp macro="" textlink="">
      <xdr:nvSpPr>
        <xdr:cNvPr id="217" name="Arrow: Left 216">
          <a:hlinkClick xmlns:r="http://schemas.openxmlformats.org/officeDocument/2006/relationships" r:id="rId2" tooltip="back to Harmony Politics tab"/>
          <a:extLst>
            <a:ext uri="{FF2B5EF4-FFF2-40B4-BE49-F238E27FC236}">
              <a16:creationId xmlns:a16="http://schemas.microsoft.com/office/drawing/2014/main" id="{00000000-0008-0000-0000-0000D9000000}"/>
            </a:ext>
          </a:extLst>
        </xdr:cNvPr>
        <xdr:cNvSpPr/>
      </xdr:nvSpPr>
      <xdr:spPr>
        <a:xfrm>
          <a:off x="6263640" y="14419078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930</xdr:row>
      <xdr:rowOff>66104</xdr:rowOff>
    </xdr:from>
    <xdr:to>
      <xdr:col>26</xdr:col>
      <xdr:colOff>488215</xdr:colOff>
      <xdr:row>930</xdr:row>
      <xdr:rowOff>300185</xdr:rowOff>
    </xdr:to>
    <xdr:sp macro="" textlink="">
      <xdr:nvSpPr>
        <xdr:cNvPr id="218" name="Arrow: Left 217">
          <a:hlinkClick xmlns:r="http://schemas.openxmlformats.org/officeDocument/2006/relationships" r:id="rId2" tooltip="back to Harmony Politics tab"/>
          <a:extLst>
            <a:ext uri="{FF2B5EF4-FFF2-40B4-BE49-F238E27FC236}">
              <a16:creationId xmlns:a16="http://schemas.microsoft.com/office/drawing/2014/main" id="{00000000-0008-0000-0000-0000DA000000}"/>
            </a:ext>
          </a:extLst>
        </xdr:cNvPr>
        <xdr:cNvSpPr/>
      </xdr:nvSpPr>
      <xdr:spPr>
        <a:xfrm>
          <a:off x="6263640" y="1526718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1043</xdr:row>
      <xdr:rowOff>66104</xdr:rowOff>
    </xdr:from>
    <xdr:to>
      <xdr:col>26</xdr:col>
      <xdr:colOff>488215</xdr:colOff>
      <xdr:row>1043</xdr:row>
      <xdr:rowOff>300185</xdr:rowOff>
    </xdr:to>
    <xdr:sp macro="" textlink="">
      <xdr:nvSpPr>
        <xdr:cNvPr id="219" name="Arrow: Left 218">
          <a:hlinkClick xmlns:r="http://schemas.openxmlformats.org/officeDocument/2006/relationships" r:id="rId2" tooltip="back to Harmony Politics tab"/>
          <a:extLst>
            <a:ext uri="{FF2B5EF4-FFF2-40B4-BE49-F238E27FC236}">
              <a16:creationId xmlns:a16="http://schemas.microsoft.com/office/drawing/2014/main" id="{00000000-0008-0000-0000-0000DB000000}"/>
            </a:ext>
          </a:extLst>
        </xdr:cNvPr>
        <xdr:cNvSpPr/>
      </xdr:nvSpPr>
      <xdr:spPr>
        <a:xfrm>
          <a:off x="6263640" y="16115290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7620</xdr:colOff>
      <xdr:row>57</xdr:row>
      <xdr:rowOff>106680</xdr:rowOff>
    </xdr:from>
    <xdr:ext cx="6035040" cy="1371600"/>
    <xdr:sp macro="" textlink="">
      <xdr:nvSpPr>
        <xdr:cNvPr id="229" name="Rectangle 228">
          <a:extLst>
            <a:ext uri="{FF2B5EF4-FFF2-40B4-BE49-F238E27FC236}">
              <a16:creationId xmlns:a16="http://schemas.microsoft.com/office/drawing/2014/main" id="{00000000-0008-0000-0000-0000E5000000}"/>
            </a:ext>
          </a:extLst>
        </xdr:cNvPr>
        <xdr:cNvSpPr/>
      </xdr:nvSpPr>
      <xdr:spPr>
        <a:xfrm>
          <a:off x="121920" y="17907000"/>
          <a:ext cx="6035040" cy="1371600"/>
        </a:xfrm>
        <a:prstGeom prst="rect">
          <a:avLst/>
        </a:prstGeom>
        <a:noFill/>
      </xdr:spPr>
      <xdr:txBody>
        <a:bodyPr wrap="square" lIns="0" tIns="0" rIns="0" bIns="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Why Harmony Politics?</a:t>
          </a:r>
        </a:p>
        <a:p>
          <a:pPr algn="l"/>
          <a:r>
            <a:rPr lang="en-US" sz="1600" b="0" cap="none" spc="-4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 important difference is not between liberalism and conservatism, n</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or between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populism</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and the establishment. It exists between overgeneralizing on either side and addressing specific needs of each affected person.</a:t>
          </a:r>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0</xdr:col>
      <xdr:colOff>98013</xdr:colOff>
      <xdr:row>785</xdr:row>
      <xdr:rowOff>99505</xdr:rowOff>
    </xdr:from>
    <xdr:to>
      <xdr:col>13</xdr:col>
      <xdr:colOff>14641</xdr:colOff>
      <xdr:row>812</xdr:row>
      <xdr:rowOff>7471</xdr:rowOff>
    </xdr:to>
    <xdr:sp macro="" textlink="">
      <xdr:nvSpPr>
        <xdr:cNvPr id="236" name="TextBox 235">
          <a:extLst>
            <a:ext uri="{FF2B5EF4-FFF2-40B4-BE49-F238E27FC236}">
              <a16:creationId xmlns:a16="http://schemas.microsoft.com/office/drawing/2014/main" id="{00000000-0008-0000-0000-0000EC000000}"/>
            </a:ext>
          </a:extLst>
        </xdr:cNvPr>
        <xdr:cNvSpPr txBox="1"/>
      </xdr:nvSpPr>
      <xdr:spPr>
        <a:xfrm>
          <a:off x="98013" y="187954917"/>
          <a:ext cx="6035040" cy="6631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As you grow your team, you ideally assemble a mixed bag of political outlooks. As you show the world the more loving way to address each other's publicly affected needs, you naturally entice more supporters and cosponsors to join you and invest in your cause. </a:t>
          </a:r>
        </a:p>
        <a:p>
          <a:pPr marL="0" marR="0" lvl="0" indent="0" defTabSz="914400" eaLnBrk="1" fontAlgn="auto" latinLnBrk="0" hangingPunct="1">
            <a:lnSpc>
              <a:spcPct val="100000"/>
            </a:lnSpc>
            <a:spcBef>
              <a:spcPts val="1200"/>
            </a:spcBef>
            <a:spcAft>
              <a:spcPts val="600"/>
            </a:spcAft>
            <a:buClrTx/>
            <a:buSzTx/>
            <a:buFontTx/>
            <a:buNone/>
            <a:tabLst/>
            <a:defRPr/>
          </a:pP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Growth</a:t>
          </a:r>
          <a:r>
            <a:rPr lang="en-US" sz="1400" b="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phase milestones</a:t>
          </a:r>
          <a:endParaRPr lang="en-US" sz="1400" b="1">
            <a:effectLst/>
            <a:latin typeface="Tahoma" panose="020B0604030504040204" pitchFamily="34" charset="0"/>
            <a:ea typeface="Tahoma" panose="020B0604030504040204" pitchFamily="34" charset="0"/>
            <a:cs typeface="Tahoma" panose="020B0604030504040204" pitchFamily="34" charset="0"/>
          </a:endParaRPr>
        </a:p>
        <a:p>
          <a:pPr marL="0" indent="0"/>
          <a:r>
            <a:rPr lang="en-US" sz="1200" b="1" baseline="0">
              <a:solidFill>
                <a:schemeClr val="dk1"/>
              </a:solidFill>
              <a:latin typeface="Cambria" panose="02040503050406030204" pitchFamily="18" charset="0"/>
              <a:ea typeface="Cambria" panose="02040503050406030204" pitchFamily="18" charset="0"/>
              <a:cs typeface="+mn-cs"/>
            </a:rPr>
            <a:t>Need-response</a:t>
          </a:r>
          <a:r>
            <a:rPr lang="en-US" sz="1200" baseline="0">
              <a:solidFill>
                <a:schemeClr val="dk1"/>
              </a:solidFill>
              <a:latin typeface="Cambria" panose="02040503050406030204" pitchFamily="18" charset="0"/>
              <a:ea typeface="Cambria" panose="02040503050406030204" pitchFamily="18" charset="0"/>
              <a:cs typeface="+mn-cs"/>
            </a:rPr>
            <a:t> gives you several milestones in this love-empowering process. The first one, </a:t>
          </a:r>
          <a:r>
            <a:rPr lang="en-US" sz="1200" b="1" baseline="0">
              <a:solidFill>
                <a:schemeClr val="dk1"/>
              </a:solidFill>
              <a:latin typeface="Cambria" panose="02040503050406030204" pitchFamily="18" charset="0"/>
              <a:ea typeface="Cambria" panose="02040503050406030204" pitchFamily="18" charset="0"/>
              <a:cs typeface="+mn-cs"/>
            </a:rPr>
            <a:t>announce</a:t>
          </a:r>
          <a:r>
            <a:rPr lang="en-US" sz="1200" baseline="0">
              <a:solidFill>
                <a:schemeClr val="dk1"/>
              </a:solidFill>
              <a:latin typeface="Cambria" panose="02040503050406030204" pitchFamily="18" charset="0"/>
              <a:ea typeface="Cambria" panose="02040503050406030204" pitchFamily="18" charset="0"/>
              <a:cs typeface="+mn-cs"/>
            </a:rPr>
            <a:t>, actually starts at the launch phase. The second, </a:t>
          </a:r>
          <a:r>
            <a:rPr lang="en-US" sz="1200" b="1" baseline="0">
              <a:solidFill>
                <a:schemeClr val="dk1"/>
              </a:solidFill>
              <a:latin typeface="Cambria" panose="02040503050406030204" pitchFamily="18" charset="0"/>
              <a:ea typeface="Cambria" panose="02040503050406030204" pitchFamily="18" charset="0"/>
              <a:cs typeface="+mn-cs"/>
            </a:rPr>
            <a:t>assess</a:t>
          </a:r>
          <a:r>
            <a:rPr lang="en-US" sz="1200" baseline="0">
              <a:solidFill>
                <a:schemeClr val="dk1"/>
              </a:solidFill>
              <a:latin typeface="Cambria" panose="02040503050406030204" pitchFamily="18" charset="0"/>
              <a:ea typeface="Cambria" panose="02040503050406030204" pitchFamily="18" charset="0"/>
              <a:cs typeface="+mn-cs"/>
            </a:rPr>
            <a:t>, can begin during the base phase, when you focus on your growing your support team. Your support team helps rate the responsiveness of potential cosponsors you invite to your campaign.</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1. Announce</a:t>
          </a:r>
        </a:p>
        <a:p>
          <a:pPr marL="0" indent="0"/>
          <a:r>
            <a:rPr lang="en-US" sz="1200" spc="-10" baseline="0">
              <a:solidFill>
                <a:schemeClr val="dk1"/>
              </a:solidFill>
              <a:latin typeface="Cambria" panose="02040503050406030204" pitchFamily="18" charset="0"/>
              <a:ea typeface="Cambria" panose="02040503050406030204" pitchFamily="18" charset="0"/>
              <a:cs typeface="+mn-cs"/>
            </a:rPr>
            <a:t>You announce your passionate cause to mutually resolve needs affected by a politicized issue</a:t>
          </a:r>
          <a:r>
            <a:rPr lang="en-US" sz="1200" baseline="0">
              <a:solidFill>
                <a:schemeClr val="dk1"/>
              </a:solidFill>
              <a:latin typeface="Cambria" panose="02040503050406030204" pitchFamily="18" charset="0"/>
              <a:ea typeface="Cambria" panose="02040503050406030204" pitchFamily="18" charset="0"/>
              <a:cs typeface="+mn-cs"/>
            </a:rPr>
            <a:t>. You invite supporters of equal standing to join your team. You inform others of your Relating Terms of Interaction (see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2. Assess</a:t>
          </a:r>
        </a:p>
        <a:p>
          <a:pPr marL="0" indent="0"/>
          <a:r>
            <a:rPr lang="en-US" sz="1200" baseline="0">
              <a:solidFill>
                <a:schemeClr val="dk1"/>
              </a:solidFill>
              <a:latin typeface="Cambria" panose="02040503050406030204" pitchFamily="18" charset="0"/>
              <a:ea typeface="Cambria" panose="02040503050406030204" pitchFamily="18" charset="0"/>
              <a:cs typeface="+mn-cs"/>
            </a:rPr>
            <a:t>You invite those with means to take note of your campaign. You incentivize them to join. You rate their responsiveness to your needs. You add your Relating Terms of Exchange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3. Audit</a:t>
          </a:r>
        </a:p>
        <a:p>
          <a:pPr marL="0" indent="0"/>
          <a:r>
            <a:rPr lang="en-US" sz="1200" baseline="0">
              <a:solidFill>
                <a:schemeClr val="dk1"/>
              </a:solidFill>
              <a:latin typeface="Cambria" panose="02040503050406030204" pitchFamily="18" charset="0"/>
              <a:ea typeface="Cambria" panose="02040503050406030204" pitchFamily="18" charset="0"/>
              <a:cs typeface="+mn-cs"/>
            </a:rPr>
            <a:t>You rate their impact on your needs. And on others similarly situated. You entice them with your love-based focus on mutually respecting needs. You establish your Relating Terms of Engagement (see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4. Avow</a:t>
          </a:r>
        </a:p>
        <a:p>
          <a:pPr marL="0" indent="0"/>
          <a:r>
            <a:rPr lang="en-US" sz="1200" baseline="0">
              <a:solidFill>
                <a:schemeClr val="dk1"/>
              </a:solidFill>
              <a:latin typeface="Cambria" panose="02040503050406030204" pitchFamily="18" charset="0"/>
              <a:ea typeface="Cambria" panose="02040503050406030204" pitchFamily="18" charset="0"/>
              <a:cs typeface="+mn-cs"/>
            </a:rPr>
            <a:t>You inform all contacted Impactors your commitment to address these politically affected needs with or without their support. You leverage your conciliatory approach, as preferable to your adversarial options. You publicize your Relating Terms of Results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5. Acclaim</a:t>
          </a:r>
        </a:p>
        <a:p>
          <a:pPr marL="0" indent="0"/>
          <a:r>
            <a:rPr lang="en-US" sz="1200" baseline="0">
              <a:solidFill>
                <a:schemeClr val="dk1"/>
              </a:solidFill>
              <a:latin typeface="Cambria" panose="02040503050406030204" pitchFamily="18" charset="0"/>
              <a:ea typeface="Cambria" panose="02040503050406030204" pitchFamily="18" charset="0"/>
              <a:cs typeface="+mn-cs"/>
            </a:rPr>
            <a:t>You assert your emerging authority as a need-resolver. You hold all Impactors accountable, or negate their relation with you. You reward those most responsive to needs. You notify the world of your Relating Terms of Use (samples below).</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a:p>
          <a:pPr marL="0" indent="0"/>
          <a:r>
            <a:rPr lang="en-US" sz="1200" baseline="0">
              <a:solidFill>
                <a:schemeClr val="dk1"/>
              </a:solidFill>
              <a:latin typeface="Cambria" panose="02040503050406030204" pitchFamily="18" charset="0"/>
              <a:ea typeface="Cambria" panose="02040503050406030204" pitchFamily="18" charset="0"/>
              <a:cs typeface="+mn-cs"/>
            </a:rPr>
            <a:t>You first reach out to journalists. Then to public servants. And finally to elected official. What do you expect will be the reply from each?</a:t>
          </a:r>
        </a:p>
      </xdr:txBody>
    </xdr:sp>
    <xdr:clientData/>
  </xdr:twoCellAnchor>
  <xdr:oneCellAnchor>
    <xdr:from>
      <xdr:col>6</xdr:col>
      <xdr:colOff>266700</xdr:colOff>
      <xdr:row>54</xdr:row>
      <xdr:rowOff>95772</xdr:rowOff>
    </xdr:from>
    <xdr:ext cx="3200400" cy="587725"/>
    <xdr:sp macro="" textlink="">
      <xdr:nvSpPr>
        <xdr:cNvPr id="248" name="Identifying affected needs">
          <a:hlinkClick xmlns:r="http://schemas.openxmlformats.org/officeDocument/2006/relationships" r:id="rId23" tooltip="to next page header"/>
          <a:extLst>
            <a:ext uri="{FF2B5EF4-FFF2-40B4-BE49-F238E27FC236}">
              <a16:creationId xmlns:a16="http://schemas.microsoft.com/office/drawing/2014/main" id="{00000000-0008-0000-0000-0000F8000000}"/>
            </a:ext>
          </a:extLst>
        </xdr:cNvPr>
        <xdr:cNvSpPr/>
      </xdr:nvSpPr>
      <xdr:spPr>
        <a:xfrm>
          <a:off x="2895600" y="16958832"/>
          <a:ext cx="3200400" cy="587725"/>
        </a:xfrm>
        <a:prstGeom prst="rect">
          <a:avLst/>
        </a:prstGeom>
        <a:noFill/>
      </xdr:spPr>
      <xdr:txBody>
        <a:bodyPr wrap="square" lIns="91440" tIns="45720" rIns="91440" bIns="45720" anchor="ctr">
          <a:spAutoFit/>
        </a:bodyPr>
        <a:lstStyle/>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Replace </a:t>
          </a:r>
          <a:r>
            <a:rPr lang="en-US" sz="1600" b="1" cap="all" baseline="0">
              <a:ln>
                <a:solidFill>
                  <a:schemeClr val="accent4">
                    <a:lumMod val="20000"/>
                    <a:lumOff val="80000"/>
                  </a:schemeClr>
                </a:solidFill>
              </a:ln>
              <a:solidFill>
                <a:schemeClr val="accent4">
                  <a:lumMod val="20000"/>
                  <a:lumOff val="80000"/>
                </a:schemeClr>
              </a:solidFill>
              <a:effectLst/>
              <a:latin typeface="Tahoma" panose="020B0604030504040204" pitchFamily="34" charset="0"/>
              <a:ea typeface="Tahoma" panose="020B0604030504040204" pitchFamily="34" charset="0"/>
              <a:cs typeface="Tahoma" panose="020B0604030504040204" pitchFamily="34" charset="0"/>
            </a:rPr>
            <a:t>debating</a:t>
          </a:r>
        </a:p>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with </a:t>
          </a:r>
          <a:r>
            <a:rPr lang="en-US" sz="1600" b="1" cap="all" spc="20" baseline="0">
              <a:ln>
                <a:solidFill>
                  <a:srgbClr val="D2FFE1"/>
                </a:solidFill>
              </a:ln>
              <a:solidFill>
                <a:srgbClr val="D2FFE1"/>
              </a:solidFill>
              <a:effectLst/>
              <a:latin typeface="Tahoma" panose="020B0604030504040204" pitchFamily="34" charset="0"/>
              <a:ea typeface="Tahoma" panose="020B0604030504040204" pitchFamily="34" charset="0"/>
              <a:cs typeface="Tahoma" panose="020B0604030504040204" pitchFamily="34" charset="0"/>
            </a:rPr>
            <a:t>relating</a:t>
          </a: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 </a:t>
          </a:r>
        </a:p>
      </xdr:txBody>
    </xdr:sp>
    <xdr:clientData/>
  </xdr:oneCellAnchor>
  <xdr:oneCellAnchor>
    <xdr:from>
      <xdr:col>0</xdr:col>
      <xdr:colOff>106680</xdr:colOff>
      <xdr:row>1073</xdr:row>
      <xdr:rowOff>129540</xdr:rowOff>
    </xdr:from>
    <xdr:ext cx="5285934" cy="262572"/>
    <xdr:sp macro="" textlink="">
      <xdr:nvSpPr>
        <xdr:cNvPr id="249" name="Identifying affected needs">
          <a:hlinkClick xmlns:r="http://schemas.openxmlformats.org/officeDocument/2006/relationships" r:id="rId24"/>
          <a:extLst>
            <a:ext uri="{FF2B5EF4-FFF2-40B4-BE49-F238E27FC236}">
              <a16:creationId xmlns:a16="http://schemas.microsoft.com/office/drawing/2014/main" id="{00000000-0008-0000-0000-0000F9000000}"/>
            </a:ext>
          </a:extLst>
        </xdr:cNvPr>
        <xdr:cNvSpPr/>
      </xdr:nvSpPr>
      <xdr:spPr>
        <a:xfrm>
          <a:off x="106680" y="252610620"/>
          <a:ext cx="5285934" cy="262572"/>
        </a:xfrm>
        <a:prstGeom prst="rect">
          <a:avLst/>
        </a:prstGeom>
        <a:noFill/>
      </xdr:spPr>
      <xdr:txBody>
        <a:bodyPr wrap="none" lIns="91440" tIns="45720" rIns="91440" bIns="45720">
          <a:spAutoFit/>
        </a:bodyPr>
        <a:lstStyle/>
        <a:p>
          <a:pPr algn="l"/>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Contact me and let me know</a:t>
          </a:r>
          <a:r>
            <a:rPr lang="en-US" sz="1100" baseline="0">
              <a:solidFill>
                <a:srgbClr val="FFFF00"/>
              </a:solidFill>
              <a:effectLst/>
              <a:latin typeface="Tahoma" panose="020B0604030504040204" pitchFamily="34" charset="0"/>
              <a:ea typeface="Tahoma" panose="020B0604030504040204" pitchFamily="34" charset="0"/>
              <a:cs typeface="Tahoma" panose="020B0604030504040204" pitchFamily="34" charset="0"/>
            </a:rPr>
            <a:t> h</a:t>
          </a:r>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ow can I improve this for you? What am I missing?</a:t>
          </a:r>
          <a:endParaRPr lang="en-US" sz="1100" b="0" cap="none" spc="0">
            <a:ln w="10160">
              <a:solidFill>
                <a:srgbClr val="7030A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60961</xdr:colOff>
      <xdr:row>1074</xdr:row>
      <xdr:rowOff>55632</xdr:rowOff>
    </xdr:from>
    <xdr:to>
      <xdr:col>12</xdr:col>
      <xdr:colOff>487681</xdr:colOff>
      <xdr:row>1077</xdr:row>
      <xdr:rowOff>101352</xdr:rowOff>
    </xdr:to>
    <xdr:sp macro="" textlink="">
      <xdr:nvSpPr>
        <xdr:cNvPr id="250" name="TextBox 249">
          <a:extLst>
            <a:ext uri="{FF2B5EF4-FFF2-40B4-BE49-F238E27FC236}">
              <a16:creationId xmlns:a16="http://schemas.microsoft.com/office/drawing/2014/main" id="{00000000-0008-0000-0000-0000FA000000}"/>
            </a:ext>
          </a:extLst>
        </xdr:cNvPr>
        <xdr:cNvSpPr txBox="1"/>
      </xdr:nvSpPr>
      <xdr:spPr>
        <a:xfrm>
          <a:off x="5204461" y="168975792"/>
          <a:ext cx="9296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45720" bIns="0" rtlCol="0" anchor="t"/>
        <a:lstStyle/>
        <a:p>
          <a:pPr algn="r"/>
          <a:r>
            <a:rPr lang="en-US" sz="900" b="1"/>
            <a:t>Thank you for this opportunity to serve</a:t>
          </a:r>
          <a:r>
            <a:rPr lang="en-US" sz="900" b="1" baseline="0"/>
            <a:t> your needs.</a:t>
          </a:r>
          <a:endParaRPr lang="en-US" sz="900" b="1"/>
        </a:p>
      </xdr:txBody>
    </xdr:sp>
    <xdr:clientData/>
  </xdr:twoCellAnchor>
  <xdr:twoCellAnchor>
    <xdr:from>
      <xdr:col>1</xdr:col>
      <xdr:colOff>30728</xdr:colOff>
      <xdr:row>1074</xdr:row>
      <xdr:rowOff>48012</xdr:rowOff>
    </xdr:from>
    <xdr:to>
      <xdr:col>3</xdr:col>
      <xdr:colOff>30728</xdr:colOff>
      <xdr:row>1077</xdr:row>
      <xdr:rowOff>93732</xdr:rowOff>
    </xdr:to>
    <xdr:sp macro="" textlink="">
      <xdr:nvSpPr>
        <xdr:cNvPr id="251" name="TextBox 250">
          <a:extLst>
            <a:ext uri="{FF2B5EF4-FFF2-40B4-BE49-F238E27FC236}">
              <a16:creationId xmlns:a16="http://schemas.microsoft.com/office/drawing/2014/main" id="{00000000-0008-0000-0000-0000FB000000}"/>
            </a:ext>
          </a:extLst>
        </xdr:cNvPr>
        <xdr:cNvSpPr txBox="1"/>
      </xdr:nvSpPr>
      <xdr:spPr>
        <a:xfrm>
          <a:off x="145028" y="168968172"/>
          <a:ext cx="10058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45720" bIns="0" rtlCol="0" anchor="t"/>
        <a:lstStyle/>
        <a:p>
          <a:pPr algn="l"/>
          <a:r>
            <a:rPr lang="en-US" sz="900" b="1"/>
            <a:t>Thank you for trying out this spreadsheet tool.</a:t>
          </a:r>
        </a:p>
      </xdr:txBody>
    </xdr:sp>
    <xdr:clientData/>
  </xdr:twoCellAnchor>
  <xdr:oneCellAnchor>
    <xdr:from>
      <xdr:col>2</xdr:col>
      <xdr:colOff>53340</xdr:colOff>
      <xdr:row>19</xdr:row>
      <xdr:rowOff>5810</xdr:rowOff>
    </xdr:from>
    <xdr:ext cx="5029200" cy="726481"/>
    <xdr:sp macro="" textlink="">
      <xdr:nvSpPr>
        <xdr:cNvPr id="254" name="Rectangle 253">
          <a:hlinkClick xmlns:r="http://schemas.openxmlformats.org/officeDocument/2006/relationships" r:id="rId18"/>
          <a:extLst>
            <a:ext uri="{FF2B5EF4-FFF2-40B4-BE49-F238E27FC236}">
              <a16:creationId xmlns:a16="http://schemas.microsoft.com/office/drawing/2014/main" id="{00000000-0008-0000-0000-0000FE000000}"/>
            </a:ext>
          </a:extLst>
        </xdr:cNvPr>
        <xdr:cNvSpPr/>
      </xdr:nvSpPr>
      <xdr:spPr>
        <a:xfrm>
          <a:off x="670560" y="7176230"/>
          <a:ext cx="5029200" cy="726481"/>
        </a:xfrm>
        <a:prstGeom prst="rect">
          <a:avLst/>
        </a:prstGeom>
        <a:solidFill>
          <a:srgbClr val="7030A0"/>
        </a:solidFill>
      </xdr:spPr>
      <xdr:txBody>
        <a:bodyPr wrap="square" lIns="91440" tIns="45720" rIns="91440" bIns="45720" anchor="ctr">
          <a:spAutoFit/>
        </a:bodyPr>
        <a:lstStyle/>
        <a:p>
          <a:pPr algn="ctr">
            <a:spcAft>
              <a:spcPts val="600"/>
            </a:spcAft>
          </a:pPr>
          <a:r>
            <a:rPr lang="en-US" sz="2400" b="1" cap="none" spc="50" baseline="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A5FFC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Value</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Relating</a:t>
          </a:r>
        </a:p>
        <a:p>
          <a:pPr algn="ctr"/>
          <a:r>
            <a:rPr lang="en-US" sz="1200" b="1" cap="none" spc="0">
              <a:ln w="0"/>
              <a:solidFill>
                <a:srgbClr val="64FF9B"/>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solving problems </a:t>
          </a:r>
          <a:r>
            <a:rPr lang="en-US" sz="1200" b="1" cap="none" spc="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1200" b="1" cap="none" spc="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200" b="1" cap="none" spc="0">
              <a:ln w="0"/>
              <a:solidFill>
                <a:srgbClr val="FF00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resolving needs</a:t>
          </a:r>
        </a:p>
      </xdr:txBody>
    </xdr:sp>
    <xdr:clientData/>
  </xdr:oneCellAnchor>
  <xdr:twoCellAnchor>
    <xdr:from>
      <xdr:col>14</xdr:col>
      <xdr:colOff>106680</xdr:colOff>
      <xdr:row>637</xdr:row>
      <xdr:rowOff>1</xdr:rowOff>
    </xdr:from>
    <xdr:to>
      <xdr:col>26</xdr:col>
      <xdr:colOff>431492</xdr:colOff>
      <xdr:row>674</xdr:row>
      <xdr:rowOff>106681</xdr:rowOff>
    </xdr:to>
    <xdr:sp macro="" textlink="">
      <xdr:nvSpPr>
        <xdr:cNvPr id="278" name="Text Box 1">
          <a:extLst>
            <a:ext uri="{FF2B5EF4-FFF2-40B4-BE49-F238E27FC236}">
              <a16:creationId xmlns:a16="http://schemas.microsoft.com/office/drawing/2014/main" id="{00000000-0008-0000-0000-000016010000}"/>
            </a:ext>
          </a:extLst>
        </xdr:cNvPr>
        <xdr:cNvSpPr txBox="1"/>
      </xdr:nvSpPr>
      <xdr:spPr>
        <a:xfrm>
          <a:off x="6370320" y="152727661"/>
          <a:ext cx="5971232" cy="7894320"/>
        </a:xfrm>
        <a:prstGeom prst="rect">
          <a:avLst/>
        </a:prstGeom>
        <a:solidFill>
          <a:srgbClr val="FFE1FF"/>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tabLst>
              <a:tab pos="114300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LAUNCH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(initializing phase) Client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set amount at $10/weekly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30 Followers = 	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Supporters =	100</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$110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$11	$110 – 11 = $99</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VR advocate =	$49.50/weekly</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counselor ally =	$49.50/weekly</a:t>
          </a:r>
        </a:p>
        <a:p>
          <a:pPr marL="0" marR="0">
            <a:spcBef>
              <a:spcPts val="0"/>
            </a:spcBef>
            <a:spcAft>
              <a:spcPts val="0"/>
            </a:spcAft>
            <a:tabLst>
              <a:tab pos="18288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8288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(Counselor-ally oversees budget, guides pace, does how much can do at each price point)</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97155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BASE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(1</a:t>
          </a:r>
          <a:r>
            <a:rPr lang="en-US" sz="1200" baseline="300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st</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milestone) Weekly amount reset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to $20/weekly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Contact AI political journalists with HP vision</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Weekly pledge doubles (e.g., from $10 to $20), as cosponsors to client’s need-resolving “cause” by transcending political binary, etc.</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Followers = 	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16 Supporters =	160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4 Cosponsors = 	80</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$250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$25	$250 – 25 = $225</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VR advocate =	$112.50/weekly</a:t>
          </a:r>
        </a:p>
        <a:p>
          <a:pPr marL="0" marR="0">
            <a:spcBef>
              <a:spcPts val="0"/>
            </a:spcBef>
            <a:spcAft>
              <a:spcPts val="0"/>
            </a:spcAft>
            <a:tabLst>
              <a:tab pos="3200400" algn="r"/>
            </a:tabLst>
          </a:pPr>
          <a:r>
            <a:rPr lang="en-US" sz="1100" spc="-10">
              <a:effectLst/>
              <a:latin typeface="Cambria Math" panose="02040503050406030204" pitchFamily="18" charset="0"/>
              <a:ea typeface="Calibri" panose="020F0502020204030204" pitchFamily="34" charset="0"/>
              <a:cs typeface="Times New Roman" panose="02020603050405020304" pitchFamily="18" charset="0"/>
            </a:rPr>
            <a:t>50% of remainder to counselor ally =	$112.50/weekly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20015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GROWTH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(GOTB) Weekly amount raises to $40/weekly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Contact higher chain journalists, administrators, politicians, and other AI political actors.</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70 Followers = 	0	losing 10 followers	gain</a:t>
          </a:r>
          <a:r>
            <a:rPr lang="en-US" sz="1100" baseline="0">
              <a:effectLst/>
              <a:latin typeface="Cambria Math" panose="02040503050406030204" pitchFamily="18" charset="0"/>
              <a:ea typeface="Calibri" panose="020F0502020204030204" pitchFamily="34" charset="0"/>
              <a:cs typeface="Times New Roman" panose="02020603050405020304" pitchFamily="18" charset="0"/>
            </a:rPr>
            <a:t> 40 more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12 Supporters =	120	losing</a:t>
          </a:r>
          <a:r>
            <a:rPr lang="en-US" sz="1100" baseline="0">
              <a:effectLst/>
              <a:latin typeface="Cambria Math" panose="02040503050406030204" pitchFamily="18" charset="0"/>
              <a:ea typeface="Calibri" panose="020F0502020204030204" pitchFamily="34" charset="0"/>
              <a:cs typeface="Times New Roman" panose="02020603050405020304" pitchFamily="18" charset="0"/>
            </a:rPr>
            <a:t> 6 supporters	gain 2 more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3 B Cosponsors = 	60	lose one Base CS</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2 G Cosponsors = 	80	gain 2 Growth CS</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$260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$26	$260 – 26 = $234</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25% of remainder to VR advocate =	$65.00/weekly</a:t>
          </a:r>
        </a:p>
        <a:p>
          <a:pPr marL="0" marR="0">
            <a:spcBef>
              <a:spcPts val="0"/>
            </a:spcBef>
            <a:spcAft>
              <a:spcPts val="0"/>
            </a:spcAft>
            <a:tabLst>
              <a:tab pos="3200400" algn="r"/>
            </a:tabLst>
          </a:pPr>
          <a:r>
            <a:rPr lang="en-US" sz="1100" spc="-10">
              <a:effectLst/>
              <a:latin typeface="Cambria Math" panose="02040503050406030204" pitchFamily="18" charset="0"/>
              <a:ea typeface="Calibri" panose="020F0502020204030204" pitchFamily="34" charset="0"/>
              <a:cs typeface="Times New Roman" panose="02020603050405020304" pitchFamily="18" charset="0"/>
            </a:rPr>
            <a:t>75% of remainder to counselor ally, managed budget =	$195.00/weekly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EXECUTION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(earned autonomy) Weekly amt at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$80/weekly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Enterprise (nonprofit, for profit, hybrid, social entrepreneur) [Skoll Foundation, etc.]</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Adds Patrons who match weekly 2x = $160, or elects to grant larger amounts, for agreed upon ROI.  This can segue into the next stage of your development, if you choose to remain with us.</a:t>
          </a:r>
        </a:p>
      </xdr:txBody>
    </xdr:sp>
    <xdr:clientData/>
  </xdr:twoCellAnchor>
  <xdr:twoCellAnchor>
    <xdr:from>
      <xdr:col>0</xdr:col>
      <xdr:colOff>38634</xdr:colOff>
      <xdr:row>502</xdr:row>
      <xdr:rowOff>95295</xdr:rowOff>
    </xdr:from>
    <xdr:to>
      <xdr:col>13</xdr:col>
      <xdr:colOff>68580</xdr:colOff>
      <xdr:row>516</xdr:row>
      <xdr:rowOff>86793</xdr:rowOff>
    </xdr:to>
    <xdr:grpSp>
      <xdr:nvGrpSpPr>
        <xdr:cNvPr id="2" name="Group 1">
          <a:extLst>
            <a:ext uri="{FF2B5EF4-FFF2-40B4-BE49-F238E27FC236}">
              <a16:creationId xmlns:a16="http://schemas.microsoft.com/office/drawing/2014/main" id="{00000000-0008-0000-0000-000002000000}"/>
            </a:ext>
          </a:extLst>
        </xdr:cNvPr>
        <xdr:cNvGrpSpPr>
          <a:grpSpLocks noChangeAspect="1"/>
        </xdr:cNvGrpSpPr>
      </xdr:nvGrpSpPr>
      <xdr:grpSpPr>
        <a:xfrm>
          <a:off x="38634" y="120666555"/>
          <a:ext cx="6179286" cy="3321438"/>
          <a:chOff x="234729" y="60050347"/>
          <a:chExt cx="5879329" cy="3142313"/>
        </a:xfrm>
      </xdr:grpSpPr>
      <xdr:pic>
        <xdr:nvPicPr>
          <xdr:cNvPr id="285" name="Picture 284">
            <a:extLst>
              <a:ext uri="{FF2B5EF4-FFF2-40B4-BE49-F238E27FC236}">
                <a16:creationId xmlns:a16="http://schemas.microsoft.com/office/drawing/2014/main" id="{00000000-0008-0000-0000-00001D010000}"/>
              </a:ext>
            </a:extLst>
          </xdr:cNvPr>
          <xdr:cNvPicPr>
            <a:picLocks noChangeAspect="1"/>
          </xdr:cNvPicPr>
        </xdr:nvPicPr>
        <xdr:blipFill rotWithShape="1">
          <a:blip xmlns:r="http://schemas.openxmlformats.org/officeDocument/2006/relationships" r:embed="rId25" cstate="print">
            <a:extLst>
              <a:ext uri="{BEBA8EAE-BF5A-486C-A8C5-ECC9F3942E4B}">
                <a14:imgProps xmlns:a14="http://schemas.microsoft.com/office/drawing/2010/main">
                  <a14:imgLayer r:embed="rId26">
                    <a14:imgEffect>
                      <a14:brightnessContrast contrast="-20000"/>
                    </a14:imgEffect>
                  </a14:imgLayer>
                </a14:imgProps>
              </a:ext>
              <a:ext uri="{28A0092B-C50C-407E-A947-70E740481C1C}">
                <a14:useLocalDpi xmlns:a14="http://schemas.microsoft.com/office/drawing/2010/main" val="0"/>
              </a:ext>
            </a:extLst>
          </a:blip>
          <a:srcRect l="5989"/>
          <a:stretch/>
        </xdr:blipFill>
        <xdr:spPr>
          <a:xfrm>
            <a:off x="785230" y="60319920"/>
            <a:ext cx="4785070" cy="2872740"/>
          </a:xfrm>
          <a:prstGeom prst="rect">
            <a:avLst/>
          </a:prstGeom>
          <a:effectLst>
            <a:glow rad="63500">
              <a:srgbClr val="A5FFC8">
                <a:alpha val="25000"/>
              </a:srgbClr>
            </a:glow>
            <a:softEdge rad="88900"/>
          </a:effectLst>
        </xdr:spPr>
      </xdr:pic>
      <xdr:sp macro="" textlink="">
        <xdr:nvSpPr>
          <xdr:cNvPr id="266" name="Rectangle 265">
            <a:extLst>
              <a:ext uri="{FF2B5EF4-FFF2-40B4-BE49-F238E27FC236}">
                <a16:creationId xmlns:a16="http://schemas.microsoft.com/office/drawing/2014/main" id="{00000000-0008-0000-0000-00000A010000}"/>
              </a:ext>
            </a:extLst>
          </xdr:cNvPr>
          <xdr:cNvSpPr/>
        </xdr:nvSpPr>
        <xdr:spPr>
          <a:xfrm>
            <a:off x="4590291" y="60432427"/>
            <a:ext cx="1523767" cy="717258"/>
          </a:xfrm>
          <a:prstGeom prst="rect">
            <a:avLst/>
          </a:prstGeom>
          <a:noFill/>
        </xdr:spPr>
        <xdr:txBody>
          <a:bodyPr wrap="none" lIns="91440" tIns="45720" rIns="91440" bIns="45720">
            <a:noAutofit/>
          </a:bodyPr>
          <a:lstStyle/>
          <a:p>
            <a:pPr algn="r"/>
            <a:r>
              <a:rPr lang="en-US" sz="48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LTTI</a:t>
            </a:r>
            <a:endParaRPr lang="en-US" sz="40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68" name="Rectangle 267">
            <a:extLst>
              <a:ext uri="{FF2B5EF4-FFF2-40B4-BE49-F238E27FC236}">
                <a16:creationId xmlns:a16="http://schemas.microsoft.com/office/drawing/2014/main" id="{00000000-0008-0000-0000-00000C010000}"/>
              </a:ext>
            </a:extLst>
          </xdr:cNvPr>
          <xdr:cNvSpPr/>
        </xdr:nvSpPr>
        <xdr:spPr>
          <a:xfrm>
            <a:off x="234729" y="60432428"/>
            <a:ext cx="1601766" cy="695630"/>
          </a:xfrm>
          <a:prstGeom prst="rect">
            <a:avLst/>
          </a:prstGeom>
          <a:noFill/>
        </xdr:spPr>
        <xdr:txBody>
          <a:bodyPr wrap="none" lIns="91440" tIns="45720" rIns="91440" bIns="45720">
            <a:noAutofit/>
          </a:bodyPr>
          <a:lstStyle/>
          <a:p>
            <a:pPr algn="l"/>
            <a:r>
              <a:rPr lang="en-US" sz="48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STTP</a:t>
            </a:r>
          </a:p>
        </xdr:txBody>
      </xdr:sp>
      <xdr:sp macro="" textlink="">
        <xdr:nvSpPr>
          <xdr:cNvPr id="515" name="'AI'" hidden="1">
            <a:extLst>
              <a:ext uri="{FF2B5EF4-FFF2-40B4-BE49-F238E27FC236}">
                <a16:creationId xmlns:a16="http://schemas.microsoft.com/office/drawing/2014/main" id="{00000000-0008-0000-0000-000003020000}"/>
              </a:ext>
            </a:extLst>
          </xdr:cNvPr>
          <xdr:cNvSpPr/>
        </xdr:nvSpPr>
        <xdr:spPr>
          <a:xfrm>
            <a:off x="4996297" y="62033620"/>
            <a:ext cx="1049476" cy="1028226"/>
          </a:xfrm>
          <a:prstGeom prst="rect">
            <a:avLst/>
          </a:prstGeom>
          <a:noFill/>
        </xdr:spPr>
        <xdr:txBody>
          <a:bodyPr wrap="none" lIns="91440" tIns="45720" rIns="91440" bIns="45720">
            <a:noAutofit/>
          </a:bodyPr>
          <a:lstStyle/>
          <a:p>
            <a:pPr algn="ctr"/>
            <a:r>
              <a:rPr lang="en-US" sz="7200" b="0" cap="none" spc="0">
                <a:ln w="10160">
                  <a:solidFill>
                    <a:srgbClr val="7030A0"/>
                  </a:solidFill>
                  <a:prstDash val="solid"/>
                </a:ln>
                <a:solidFill>
                  <a:srgbClr val="FF99FF"/>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rPr>
              <a:t>AI</a:t>
            </a:r>
            <a:endParaRPr lang="en-US" sz="3200" b="0" cap="none" spc="0">
              <a:ln w="10160">
                <a:solidFill>
                  <a:srgbClr val="7030A0"/>
                </a:solidFill>
                <a:prstDash val="solid"/>
              </a:ln>
              <a:solidFill>
                <a:srgbClr val="FF99FF"/>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endParaRPr>
          </a:p>
        </xdr:txBody>
      </xdr:sp>
      <xdr:sp macro="" textlink="">
        <xdr:nvSpPr>
          <xdr:cNvPr id="516" name="'RI'" hidden="1">
            <a:extLst>
              <a:ext uri="{FF2B5EF4-FFF2-40B4-BE49-F238E27FC236}">
                <a16:creationId xmlns:a16="http://schemas.microsoft.com/office/drawing/2014/main" id="{00000000-0008-0000-0000-000004020000}"/>
              </a:ext>
            </a:extLst>
          </xdr:cNvPr>
          <xdr:cNvSpPr/>
        </xdr:nvSpPr>
        <xdr:spPr>
          <a:xfrm>
            <a:off x="306243" y="62030095"/>
            <a:ext cx="1049476" cy="1028226"/>
          </a:xfrm>
          <a:prstGeom prst="rect">
            <a:avLst/>
          </a:prstGeom>
          <a:noFill/>
        </xdr:spPr>
        <xdr:txBody>
          <a:bodyPr wrap="none" lIns="91440" tIns="45720" rIns="91440" bIns="45720">
            <a:noAutofit/>
          </a:bodyPr>
          <a:lstStyle/>
          <a:p>
            <a:pPr algn="ctr"/>
            <a:r>
              <a:rPr lang="en-US" sz="7200" b="0" cap="none" spc="0">
                <a:ln w="10160">
                  <a:solidFill>
                    <a:srgbClr val="009646"/>
                  </a:solidFill>
                  <a:prstDash val="solid"/>
                </a:ln>
                <a:solidFill>
                  <a:srgbClr val="0AFA96"/>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rPr>
              <a:t>RI</a:t>
            </a:r>
            <a:endParaRPr lang="en-US" sz="4400" b="0" cap="none" spc="0">
              <a:ln w="10160">
                <a:solidFill>
                  <a:srgbClr val="009646"/>
                </a:solidFill>
                <a:prstDash val="solid"/>
              </a:ln>
              <a:solidFill>
                <a:srgbClr val="0AFA96"/>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endParaRPr>
          </a:p>
        </xdr:txBody>
      </xdr:sp>
      <xdr:sp macro="" textlink="">
        <xdr:nvSpPr>
          <xdr:cNvPr id="693" name="STTP" hidden="1">
            <a:extLst>
              <a:ext uri="{FF2B5EF4-FFF2-40B4-BE49-F238E27FC236}">
                <a16:creationId xmlns:a16="http://schemas.microsoft.com/office/drawing/2014/main" id="{00000000-0008-0000-0000-0000B5020000}"/>
              </a:ext>
            </a:extLst>
          </xdr:cNvPr>
          <xdr:cNvSpPr/>
        </xdr:nvSpPr>
        <xdr:spPr>
          <a:xfrm>
            <a:off x="357980" y="60050348"/>
            <a:ext cx="2610039" cy="259526"/>
          </a:xfrm>
          <a:prstGeom prst="rect">
            <a:avLst/>
          </a:prstGeom>
          <a:noFill/>
        </xdr:spPr>
        <xdr:txBody>
          <a:bodyPr wrap="none" lIns="0" tIns="0" rIns="0" bIns="0">
            <a:noAutofit/>
          </a:bodyPr>
          <a:lstStyle/>
          <a:p>
            <a:pPr algn="l"/>
            <a:r>
              <a:rPr lang="en-US" sz="1600" b="1" cap="none" spc="0">
                <a:ln w="10160">
                  <a:solidFill>
                    <a:srgbClr val="009646"/>
                  </a:solidFill>
                  <a:prstDash val="solid"/>
                </a:ln>
                <a:solidFill>
                  <a:srgbClr val="00823C"/>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SPEAK TRUTH TO POWER</a:t>
            </a:r>
          </a:p>
        </xdr:txBody>
      </xdr:sp>
      <xdr:sp macro="" textlink="">
        <xdr:nvSpPr>
          <xdr:cNvPr id="694" name="LTTI" hidden="1">
            <a:extLst>
              <a:ext uri="{FF2B5EF4-FFF2-40B4-BE49-F238E27FC236}">
                <a16:creationId xmlns:a16="http://schemas.microsoft.com/office/drawing/2014/main" id="{00000000-0008-0000-0000-0000B6020000}"/>
              </a:ext>
            </a:extLst>
          </xdr:cNvPr>
          <xdr:cNvSpPr/>
        </xdr:nvSpPr>
        <xdr:spPr>
          <a:xfrm>
            <a:off x="3183769" y="60050347"/>
            <a:ext cx="2865038" cy="259526"/>
          </a:xfrm>
          <a:prstGeom prst="rect">
            <a:avLst/>
          </a:prstGeom>
          <a:noFill/>
        </xdr:spPr>
        <xdr:txBody>
          <a:bodyPr wrap="none" lIns="0" tIns="0" rIns="0" bIns="0">
            <a:noAutofit/>
          </a:bodyPr>
          <a:lstStyle/>
          <a:p>
            <a:pPr algn="r"/>
            <a:r>
              <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LISTEN</a:t>
            </a:r>
            <a:r>
              <a:rPr lang="en-US" sz="1600" b="1" cap="none" spc="-30" baseline="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 TO THOSE IMPACTED</a:t>
            </a:r>
            <a:endPar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2</xdr:col>
      <xdr:colOff>349653</xdr:colOff>
      <xdr:row>468</xdr:row>
      <xdr:rowOff>182879</xdr:rowOff>
    </xdr:from>
    <xdr:to>
      <xdr:col>12</xdr:col>
      <xdr:colOff>152123</xdr:colOff>
      <xdr:row>478</xdr:row>
      <xdr:rowOff>210185</xdr:rowOff>
    </xdr:to>
    <xdr:grpSp>
      <xdr:nvGrpSpPr>
        <xdr:cNvPr id="287" name="Group 286">
          <a:extLst>
            <a:ext uri="{FF2B5EF4-FFF2-40B4-BE49-F238E27FC236}">
              <a16:creationId xmlns:a16="http://schemas.microsoft.com/office/drawing/2014/main" id="{00000000-0008-0000-0000-00001F010000}"/>
            </a:ext>
          </a:extLst>
        </xdr:cNvPr>
        <xdr:cNvGrpSpPr/>
      </xdr:nvGrpSpPr>
      <xdr:grpSpPr>
        <a:xfrm>
          <a:off x="966873" y="111716819"/>
          <a:ext cx="4831670" cy="2541906"/>
          <a:chOff x="308500" y="-253097"/>
          <a:chExt cx="4719869" cy="2440642"/>
        </a:xfrm>
      </xdr:grpSpPr>
      <xdr:sp macro="" textlink="">
        <xdr:nvSpPr>
          <xdr:cNvPr id="288" name="Oval 287">
            <a:extLst>
              <a:ext uri="{FF2B5EF4-FFF2-40B4-BE49-F238E27FC236}">
                <a16:creationId xmlns:a16="http://schemas.microsoft.com/office/drawing/2014/main" id="{00000000-0008-0000-0000-000020010000}"/>
              </a:ext>
            </a:extLst>
          </xdr:cNvPr>
          <xdr:cNvSpPr>
            <a:spLocks noChangeAspect="1"/>
          </xdr:cNvSpPr>
        </xdr:nvSpPr>
        <xdr:spPr>
          <a:xfrm>
            <a:off x="3003958" y="-253097"/>
            <a:ext cx="2024411" cy="1995201"/>
          </a:xfrm>
          <a:prstGeom prst="ellipse">
            <a:avLst/>
          </a:prstGeom>
          <a:gradFill flip="none" rotWithShape="1">
            <a:gsLst>
              <a:gs pos="67000">
                <a:srgbClr val="CC66FF"/>
              </a:gs>
              <a:gs pos="45000">
                <a:srgbClr val="CC99FF"/>
              </a:gs>
              <a:gs pos="0">
                <a:srgbClr val="CC66FF"/>
              </a:gs>
            </a:gsLst>
            <a:path path="circle">
              <a:fillToRect l="50000" t="50000" r="50000" b="50000"/>
            </a:path>
            <a:tileRect/>
          </a:gradFill>
          <a:ln w="28575">
            <a:solidFill>
              <a:srgbClr val="EBDCFF"/>
            </a:solidFill>
          </a:ln>
          <a:effectLst>
            <a:glow rad="63500">
              <a:schemeClr val="accent6">
                <a:satMod val="175000"/>
                <a:alpha val="40000"/>
              </a:schemeClr>
            </a:glow>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pPr marL="0" marR="0" algn="ctr">
              <a:spcBef>
                <a:spcPts val="0"/>
              </a:spcBef>
              <a:spcAft>
                <a:spcPts val="0"/>
              </a:spcAft>
            </a:pPr>
            <a:r>
              <a:rPr lang="en-US" sz="24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ASCRIBED</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gn="ctr">
              <a:spcBef>
                <a:spcPts val="0"/>
              </a:spcBef>
              <a:spcAft>
                <a:spcPts val="0"/>
              </a:spcAft>
            </a:pPr>
            <a:r>
              <a:rPr lang="en-US" sz="24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IMPACTOR</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sp macro="" textlink="">
        <xdr:nvSpPr>
          <xdr:cNvPr id="289" name="Oval 288">
            <a:extLst>
              <a:ext uri="{FF2B5EF4-FFF2-40B4-BE49-F238E27FC236}">
                <a16:creationId xmlns:a16="http://schemas.microsoft.com/office/drawing/2014/main" id="{00000000-0008-0000-0000-000021010000}"/>
              </a:ext>
            </a:extLst>
          </xdr:cNvPr>
          <xdr:cNvSpPr>
            <a:spLocks noChangeAspect="1"/>
          </xdr:cNvSpPr>
        </xdr:nvSpPr>
        <xdr:spPr>
          <a:xfrm>
            <a:off x="308500" y="-117181"/>
            <a:ext cx="1430653" cy="1404607"/>
          </a:xfrm>
          <a:prstGeom prst="ellipse">
            <a:avLst/>
          </a:prstGeom>
          <a:gradFill flip="none" rotWithShape="1">
            <a:gsLst>
              <a:gs pos="70000">
                <a:srgbClr val="00B050"/>
              </a:gs>
              <a:gs pos="20000">
                <a:srgbClr val="00F587"/>
              </a:gs>
              <a:gs pos="0">
                <a:srgbClr val="E1FFEB"/>
              </a:gs>
            </a:gsLst>
            <a:path path="circle">
              <a:fillToRect l="50000" t="50000" r="50000" b="50000"/>
            </a:path>
            <a:tileRect/>
          </a:gradFill>
          <a:ln w="19050">
            <a:solidFill>
              <a:srgbClr val="A0FFCD"/>
            </a:solidFill>
          </a:ln>
          <a:effectLst>
            <a:glow rad="63500">
              <a:schemeClr val="accent6">
                <a:satMod val="175000"/>
                <a:alpha val="40000"/>
              </a:schemeClr>
            </a:glow>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pPr marL="0" marR="0" algn="ctr">
              <a:spcBef>
                <a:spcPts val="0"/>
              </a:spcBef>
              <a:spcAft>
                <a:spcPts val="0"/>
              </a:spcAft>
            </a:pPr>
            <a:r>
              <a:rPr lang="en-US" sz="1600" spc="-5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REPORTING</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gn="ctr">
              <a:spcBef>
                <a:spcPts val="0"/>
              </a:spcBef>
              <a:spcAft>
                <a:spcPts val="0"/>
              </a:spcAft>
            </a:pPr>
            <a:r>
              <a:rPr lang="en-US" sz="16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IMPACTEE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sp macro="" textlink="">
        <xdr:nvSpPr>
          <xdr:cNvPr id="290" name="Right Brace 289">
            <a:extLst>
              <a:ext uri="{FF2B5EF4-FFF2-40B4-BE49-F238E27FC236}">
                <a16:creationId xmlns:a16="http://schemas.microsoft.com/office/drawing/2014/main" id="{00000000-0008-0000-0000-000022010000}"/>
              </a:ext>
            </a:extLst>
          </xdr:cNvPr>
          <xdr:cNvSpPr/>
        </xdr:nvSpPr>
        <xdr:spPr>
          <a:xfrm rot="16809231" flipH="1">
            <a:off x="2326064" y="214256"/>
            <a:ext cx="314158" cy="3041316"/>
          </a:xfrm>
          <a:prstGeom prst="rightBrace">
            <a:avLst>
              <a:gd name="adj1" fmla="val 55142"/>
              <a:gd name="adj2" fmla="val 49780"/>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1" name="Right Bracket 290">
            <a:extLst>
              <a:ext uri="{FF2B5EF4-FFF2-40B4-BE49-F238E27FC236}">
                <a16:creationId xmlns:a16="http://schemas.microsoft.com/office/drawing/2014/main" id="{00000000-0008-0000-0000-000023010000}"/>
              </a:ext>
            </a:extLst>
          </xdr:cNvPr>
          <xdr:cNvSpPr/>
        </xdr:nvSpPr>
        <xdr:spPr>
          <a:xfrm rot="5400000">
            <a:off x="928681" y="788085"/>
            <a:ext cx="182880" cy="914400"/>
          </a:xfrm>
          <a:prstGeom prst="rightBracket">
            <a:avLst>
              <a:gd name="adj" fmla="val 78333"/>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2" name="Right Bracket 291">
            <a:extLst>
              <a:ext uri="{FF2B5EF4-FFF2-40B4-BE49-F238E27FC236}">
                <a16:creationId xmlns:a16="http://schemas.microsoft.com/office/drawing/2014/main" id="{00000000-0008-0000-0000-000024010000}"/>
              </a:ext>
            </a:extLst>
          </xdr:cNvPr>
          <xdr:cNvSpPr/>
        </xdr:nvSpPr>
        <xdr:spPr>
          <a:xfrm rot="5400000">
            <a:off x="3912877" y="1282437"/>
            <a:ext cx="182880" cy="914400"/>
          </a:xfrm>
          <a:prstGeom prst="rightBracket">
            <a:avLst>
              <a:gd name="adj" fmla="val 78333"/>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3" name="Flowchart: Delay 292">
            <a:extLst>
              <a:ext uri="{FF2B5EF4-FFF2-40B4-BE49-F238E27FC236}">
                <a16:creationId xmlns:a16="http://schemas.microsoft.com/office/drawing/2014/main" id="{00000000-0008-0000-0000-000025010000}"/>
              </a:ext>
            </a:extLst>
          </xdr:cNvPr>
          <xdr:cNvSpPr/>
        </xdr:nvSpPr>
        <xdr:spPr>
          <a:xfrm rot="16200000">
            <a:off x="2319840" y="1756413"/>
            <a:ext cx="173790" cy="688474"/>
          </a:xfrm>
          <a:prstGeom prst="flowChartDelay">
            <a:avLst/>
          </a:prstGeom>
          <a:solidFill>
            <a:srgbClr val="50236E"/>
          </a:solidFill>
          <a:ln>
            <a:solidFill>
              <a:srgbClr val="50236E"/>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p>
            <a:endParaRPr lang="en-US"/>
          </a:p>
        </xdr:txBody>
      </xdr:sp>
    </xdr:grpSp>
    <xdr:clientData/>
  </xdr:twoCellAnchor>
  <xdr:oneCellAnchor>
    <xdr:from>
      <xdr:col>14</xdr:col>
      <xdr:colOff>110067</xdr:colOff>
      <xdr:row>230</xdr:row>
      <xdr:rowOff>8467</xdr:rowOff>
    </xdr:from>
    <xdr:ext cx="6047584" cy="1507029"/>
    <xdr:pic>
      <xdr:nvPicPr>
        <xdr:cNvPr id="310" name="Picture 309" hidden="1">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38900947"/>
          <a:ext cx="6047584" cy="1507029"/>
        </a:xfrm>
        <a:prstGeom prst="rect">
          <a:avLst/>
        </a:prstGeom>
      </xdr:spPr>
    </xdr:pic>
    <xdr:clientData/>
  </xdr:oneCellAnchor>
  <xdr:twoCellAnchor>
    <xdr:from>
      <xdr:col>19</xdr:col>
      <xdr:colOff>331670</xdr:colOff>
      <xdr:row>201</xdr:row>
      <xdr:rowOff>91574</xdr:rowOff>
    </xdr:from>
    <xdr:to>
      <xdr:col>22</xdr:col>
      <xdr:colOff>351722</xdr:colOff>
      <xdr:row>201</xdr:row>
      <xdr:rowOff>287555</xdr:rowOff>
    </xdr:to>
    <xdr:sp macro="" textlink="">
      <xdr:nvSpPr>
        <xdr:cNvPr id="311" name="Arrow: Left 310">
          <a:hlinkClick xmlns:r="http://schemas.openxmlformats.org/officeDocument/2006/relationships" r:id="rId3" tooltip="back to Harmony Politics tab"/>
          <a:extLst>
            <a:ext uri="{FF2B5EF4-FFF2-40B4-BE49-F238E27FC236}">
              <a16:creationId xmlns:a16="http://schemas.microsoft.com/office/drawing/2014/main" id="{00000000-0008-0000-0000-000037010000}"/>
            </a:ext>
          </a:extLst>
        </xdr:cNvPr>
        <xdr:cNvSpPr/>
      </xdr:nvSpPr>
      <xdr:spPr>
        <a:xfrm>
          <a:off x="8721290" y="424968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222</xdr:row>
      <xdr:rowOff>5348</xdr:rowOff>
    </xdr:from>
    <xdr:to>
      <xdr:col>27</xdr:col>
      <xdr:colOff>118976</xdr:colOff>
      <xdr:row>222</xdr:row>
      <xdr:rowOff>105611</xdr:rowOff>
    </xdr:to>
    <xdr:sp macro="" textlink="">
      <xdr:nvSpPr>
        <xdr:cNvPr id="312" name="Right Triangle 311">
          <a:extLst>
            <a:ext uri="{FF2B5EF4-FFF2-40B4-BE49-F238E27FC236}">
              <a16:creationId xmlns:a16="http://schemas.microsoft.com/office/drawing/2014/main" id="{00000000-0008-0000-0000-000038010000}"/>
            </a:ext>
          </a:extLst>
        </xdr:cNvPr>
        <xdr:cNvSpPr/>
      </xdr:nvSpPr>
      <xdr:spPr>
        <a:xfrm flipH="1" flipV="1">
          <a:off x="12458429" y="3682518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201</xdr:row>
      <xdr:rowOff>62369</xdr:rowOff>
    </xdr:from>
    <xdr:to>
      <xdr:col>26</xdr:col>
      <xdr:colOff>488215</xdr:colOff>
      <xdr:row>201</xdr:row>
      <xdr:rowOff>302426</xdr:rowOff>
    </xdr:to>
    <xdr:sp macro="" textlink="">
      <xdr:nvSpPr>
        <xdr:cNvPr id="314" name="Arrow: Left 313">
          <a:hlinkClick xmlns:r="http://schemas.openxmlformats.org/officeDocument/2006/relationships" r:id="rId2" tooltip="back to Harmony Politics tab"/>
          <a:extLst>
            <a:ext uri="{FF2B5EF4-FFF2-40B4-BE49-F238E27FC236}">
              <a16:creationId xmlns:a16="http://schemas.microsoft.com/office/drawing/2014/main" id="{00000000-0008-0000-0000-00003A010000}"/>
            </a:ext>
          </a:extLst>
        </xdr:cNvPr>
        <xdr:cNvSpPr/>
      </xdr:nvSpPr>
      <xdr:spPr>
        <a:xfrm>
          <a:off x="10869463" y="3399422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15</xdr:col>
      <xdr:colOff>30480</xdr:colOff>
      <xdr:row>166</xdr:row>
      <xdr:rowOff>182880</xdr:rowOff>
    </xdr:from>
    <xdr:to>
      <xdr:col>26</xdr:col>
      <xdr:colOff>441960</xdr:colOff>
      <xdr:row>183</xdr:row>
      <xdr:rowOff>129540</xdr:rowOff>
    </xdr:to>
    <xdr:sp macro="" textlink="">
      <xdr:nvSpPr>
        <xdr:cNvPr id="315" name="TextBox 314">
          <a:extLst>
            <a:ext uri="{FF2B5EF4-FFF2-40B4-BE49-F238E27FC236}">
              <a16:creationId xmlns:a16="http://schemas.microsoft.com/office/drawing/2014/main" id="{00000000-0008-0000-0000-00003B010000}"/>
            </a:ext>
          </a:extLst>
        </xdr:cNvPr>
        <xdr:cNvSpPr txBox="1"/>
      </xdr:nvSpPr>
      <xdr:spPr>
        <a:xfrm>
          <a:off x="6408420" y="42854880"/>
          <a:ext cx="5943600" cy="38938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Needs come first</a:t>
          </a:r>
        </a:p>
        <a:p>
          <a:r>
            <a:rPr lang="en-US" sz="1050" baseline="0">
              <a:solidFill>
                <a:schemeClr val="dk1"/>
              </a:solidFill>
              <a:latin typeface="Arial Narrow" panose="020B0606020202030204" pitchFamily="34" charset="0"/>
              <a:ea typeface="+mn-ea"/>
              <a:cs typeface="+mn-cs"/>
            </a:rPr>
            <a:t>When it comes to [ISSUE], you need to focus more on [FOCUS] for [NEED]. Your situation in life proritizes your need for [FOCUS]. So you gravitate toward a [STANCE] position. Your needs come first. They prioritize your political reasoning, for their relief. </a:t>
          </a:r>
        </a:p>
        <a:p>
          <a:r>
            <a:rPr lang="en-US" sz="1050" baseline="0">
              <a:solidFill>
                <a:srgbClr val="780091"/>
              </a:solidFill>
              <a:latin typeface="Arial Narrow" panose="020B0606020202030204" pitchFamily="34" charset="0"/>
              <a:ea typeface="+mn-ea"/>
              <a:cs typeface="+mn-cs"/>
            </a:rPr>
            <a:t>When it comes to politics, you need to focus more on what impacts your needs. Your situation in life creates a clashing priority of needs than experienced by those of the other political side. Your needs come first. They prioritize your political reasoning, for their relief.</a:t>
          </a:r>
        </a:p>
        <a:p>
          <a:endParaRPr lang="en-US" sz="1050" baseline="0">
            <a:solidFill>
              <a:schemeClr val="dk1"/>
            </a:solidFill>
            <a:latin typeface="Arial Narrow" panose="020B0606020202030204" pitchFamily="34" charset="0"/>
            <a:ea typeface="+mn-ea"/>
            <a:cs typeface="+mn-cs"/>
          </a:endParaRPr>
        </a:p>
        <a:p>
          <a:r>
            <a:rPr lang="en-US" sz="1050" baseline="0">
              <a:solidFill>
                <a:schemeClr val="dk1"/>
              </a:solidFill>
              <a:latin typeface="Arial Narrow" panose="020B0606020202030204" pitchFamily="34" charset="0"/>
              <a:ea typeface="+mn-ea"/>
              <a:cs typeface="+mn-cs"/>
            </a:rPr>
            <a:t>Others experience a strikingly different priority of needs. They need to focus more on [FOCUS] for [NEED].They tend to take a [STANCE] stance on [ISSUE]. Their reasoning can mount compelling arguments to support their side. They must, when their needs depend on it. Much like yours.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a:p>
          <a:r>
            <a:rPr lang="en-US" sz="1050" baseline="0">
              <a:solidFill>
                <a:schemeClr val="dk1"/>
              </a:solidFill>
              <a:latin typeface="Arial Narrow" panose="020B0606020202030204" pitchFamily="34" charset="0"/>
              <a:ea typeface="+mn-ea"/>
              <a:cs typeface="+mn-cs"/>
            </a:rPr>
            <a:t>There is no good nor bad except for need. What appears bad for them seems bad to you. What seems good for them feels bad for you. The generalizing of divisive [ISSUE] politics easily abandons you here, in this painful zone of hostile differences. </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oneCellAnchor>
    <xdr:from>
      <xdr:col>14</xdr:col>
      <xdr:colOff>110067</xdr:colOff>
      <xdr:row>294</xdr:row>
      <xdr:rowOff>8467</xdr:rowOff>
    </xdr:from>
    <xdr:ext cx="6047584" cy="1507029"/>
    <xdr:pic>
      <xdr:nvPicPr>
        <xdr:cNvPr id="322" name="Picture 321" hidden="1">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47435347"/>
          <a:ext cx="6047584" cy="1507029"/>
        </a:xfrm>
        <a:prstGeom prst="rect">
          <a:avLst/>
        </a:prstGeom>
      </xdr:spPr>
    </xdr:pic>
    <xdr:clientData/>
  </xdr:oneCellAnchor>
  <xdr:twoCellAnchor>
    <xdr:from>
      <xdr:col>20</xdr:col>
      <xdr:colOff>285950</xdr:colOff>
      <xdr:row>274</xdr:row>
      <xdr:rowOff>99194</xdr:rowOff>
    </xdr:from>
    <xdr:to>
      <xdr:col>23</xdr:col>
      <xdr:colOff>306002</xdr:colOff>
      <xdr:row>274</xdr:row>
      <xdr:rowOff>295175</xdr:rowOff>
    </xdr:to>
    <xdr:sp macro="" textlink="">
      <xdr:nvSpPr>
        <xdr:cNvPr id="323" name="Arrow: Left 322">
          <a:hlinkClick xmlns:r="http://schemas.openxmlformats.org/officeDocument/2006/relationships" r:id="rId3" tooltip="back to Harmony Politics tab"/>
          <a:extLst>
            <a:ext uri="{FF2B5EF4-FFF2-40B4-BE49-F238E27FC236}">
              <a16:creationId xmlns:a16="http://schemas.microsoft.com/office/drawing/2014/main" id="{00000000-0008-0000-0000-000043010000}"/>
            </a:ext>
          </a:extLst>
        </xdr:cNvPr>
        <xdr:cNvSpPr/>
      </xdr:nvSpPr>
      <xdr:spPr>
        <a:xfrm>
          <a:off x="9178490" y="509169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274</xdr:row>
      <xdr:rowOff>62369</xdr:rowOff>
    </xdr:from>
    <xdr:to>
      <xdr:col>26</xdr:col>
      <xdr:colOff>488215</xdr:colOff>
      <xdr:row>274</xdr:row>
      <xdr:rowOff>302426</xdr:rowOff>
    </xdr:to>
    <xdr:sp macro="" textlink="">
      <xdr:nvSpPr>
        <xdr:cNvPr id="326" name="Arrow: Left 325">
          <a:hlinkClick xmlns:r="http://schemas.openxmlformats.org/officeDocument/2006/relationships" r:id="rId2" tooltip="back to Harmony Politics tab"/>
          <a:extLst>
            <a:ext uri="{FF2B5EF4-FFF2-40B4-BE49-F238E27FC236}">
              <a16:creationId xmlns:a16="http://schemas.microsoft.com/office/drawing/2014/main" id="{00000000-0008-0000-0000-000046010000}"/>
            </a:ext>
          </a:extLst>
        </xdr:cNvPr>
        <xdr:cNvSpPr/>
      </xdr:nvSpPr>
      <xdr:spPr>
        <a:xfrm>
          <a:off x="10869463" y="4252862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15</xdr:col>
      <xdr:colOff>53033</xdr:colOff>
      <xdr:row>203</xdr:row>
      <xdr:rowOff>76124</xdr:rowOff>
    </xdr:from>
    <xdr:to>
      <xdr:col>26</xdr:col>
      <xdr:colOff>464513</xdr:colOff>
      <xdr:row>229</xdr:row>
      <xdr:rowOff>190500</xdr:rowOff>
    </xdr:to>
    <xdr:sp macro="" textlink="">
      <xdr:nvSpPr>
        <xdr:cNvPr id="327" name="TextBox 326">
          <a:extLst>
            <a:ext uri="{FF2B5EF4-FFF2-40B4-BE49-F238E27FC236}">
              <a16:creationId xmlns:a16="http://schemas.microsoft.com/office/drawing/2014/main" id="{00000000-0008-0000-0000-000047010000}"/>
            </a:ext>
          </a:extLst>
        </xdr:cNvPr>
        <xdr:cNvSpPr txBox="1"/>
      </xdr:nvSpPr>
      <xdr:spPr>
        <a:xfrm>
          <a:off x="6430973" y="51206324"/>
          <a:ext cx="5943600" cy="6080836"/>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DESCENDING INTO NEEDLESS BATTLE </a:t>
          </a:r>
          <a:r>
            <a:rPr lang="en-US" sz="1200" baseline="0">
              <a:solidFill>
                <a:srgbClr val="00823C"/>
              </a:solidFill>
              <a:latin typeface="Franklin Gothic Demi Cond" panose="020B0706030402020204" pitchFamily="34" charset="0"/>
              <a:ea typeface="+mn-ea"/>
              <a:cs typeface="+mn-cs"/>
            </a:rPr>
            <a:t>[LACK OF MORAL LEADERSHIP]</a:t>
          </a:r>
          <a:endParaRPr lang="en-US" sz="1050" baseline="0">
            <a:solidFill>
              <a:srgbClr val="00823C"/>
            </a:solidFill>
            <a:latin typeface="Franklin Gothic Demi Cond" panose="020B070603040202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1. Void of moral leadership</a:t>
          </a:r>
        </a:p>
        <a:p>
          <a:r>
            <a:rPr lang="en-US" sz="1050" baseline="0">
              <a:solidFill>
                <a:schemeClr val="dk1"/>
              </a:solidFill>
              <a:latin typeface="Arial Narrow" panose="020B0606020202030204" pitchFamily="34" charset="0"/>
              <a:ea typeface="+mn-ea"/>
              <a:cs typeface="+mn-cs"/>
            </a:rPr>
            <a:t>Conventionally, the other side seems like a threat to your prioritized needs. The more you seek to [EASE], the more they seek to [EASE]. You both must serve your different priority of [ISSUE] affected needs. Political generalizing arrives after the fact. If it wasn't for your diverging priority of [ISSUE] needs, you likely wouldn't care about [ISSUE] politics.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Conventionally, the other side seems like a threat to your prioritized needs. The more you try to ease your needs one way, the more they try to ease theirs the opposiste way. You both must serve a clashing  priority of publicly affected needs. Political generalizing arrives after the fact. If it wasn't for your diverging priority of politicized needs, you likely wouldn't care about politics.</a:t>
          </a:r>
        </a:p>
        <a:p>
          <a:endParaRPr lang="en-US" sz="1050" baseline="0">
            <a:solidFill>
              <a:schemeClr val="dk1"/>
            </a:solidFill>
            <a:latin typeface="Arial Narrow" panose="020B0606020202030204" pitchFamily="34" charset="0"/>
            <a:ea typeface="+mn-ea"/>
            <a:cs typeface="+mn-cs"/>
          </a:endParaRPr>
        </a:p>
        <a:p>
          <a:r>
            <a:rPr lang="en-US" sz="1050" b="1" baseline="0">
              <a:solidFill>
                <a:schemeClr val="dk1"/>
              </a:solidFill>
              <a:latin typeface="Arial Narrow" panose="020B0606020202030204" pitchFamily="34" charset="0"/>
              <a:ea typeface="+mn-ea"/>
              <a:cs typeface="+mn-cs"/>
            </a:rPr>
            <a:t>WIDE</a:t>
          </a:r>
          <a:r>
            <a:rPr lang="en-US" sz="1050" baseline="0">
              <a:solidFill>
                <a:schemeClr val="dk1"/>
              </a:solidFill>
              <a:latin typeface="Arial Narrow" panose="020B0606020202030204" pitchFamily="34" charset="0"/>
              <a:ea typeface="+mn-ea"/>
              <a:cs typeface="+mn-cs"/>
            </a:rPr>
            <a:t>: We must [W EASE] and [W OVERGEN].</a:t>
          </a:r>
        </a:p>
        <a:p>
          <a:r>
            <a:rPr lang="en-US" sz="1050" baseline="0">
              <a:solidFill>
                <a:srgbClr val="780091"/>
              </a:solidFill>
              <a:latin typeface="Arial Narrow" panose="020B0606020202030204" pitchFamily="34" charset="0"/>
              <a:ea typeface="+mn-ea"/>
              <a:cs typeface="+mn-cs"/>
            </a:rPr>
            <a:t>We must ensure everyone's needs are equally met through government oversight</a:t>
          </a:r>
          <a:r>
            <a:rPr lang="en-US" sz="1050" baseline="0">
              <a:solidFill>
                <a:srgbClr val="CC00CC"/>
              </a:solidFill>
              <a:latin typeface="Arial Narrow" panose="020B0606020202030204" pitchFamily="34" charset="0"/>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DEEP:</a:t>
          </a:r>
          <a:r>
            <a:rPr lang="en-US" sz="1050" baseline="0">
              <a:solidFill>
                <a:schemeClr val="dk1"/>
              </a:solidFill>
              <a:latin typeface="Arial Narrow" panose="020B0606020202030204" pitchFamily="34" charset="0"/>
              <a:ea typeface="+mn-ea"/>
              <a:cs typeface="+mn-cs"/>
            </a:rPr>
            <a:t> We must [D EASE] and [D OVERGEN].</a:t>
          </a:r>
        </a:p>
        <a:p>
          <a:pPr marL="0" indent="0"/>
          <a:r>
            <a:rPr lang="en-US" sz="1050" baseline="0">
              <a:solidFill>
                <a:srgbClr val="780091"/>
              </a:solidFill>
              <a:latin typeface="Arial Narrow" panose="020B0606020202030204" pitchFamily="34" charset="0"/>
              <a:ea typeface="+mn-ea"/>
              <a:cs typeface="+mn-cs"/>
            </a:rPr>
            <a:t>We must ensure everyone can freely live up to their full creative potential</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2. Exaggerating slips into extremes</a:t>
          </a:r>
        </a:p>
        <a:p>
          <a:r>
            <a:rPr lang="en-US" sz="1050" baseline="0">
              <a:solidFill>
                <a:schemeClr val="dk1"/>
              </a:solidFill>
              <a:latin typeface="Arial Narrow" panose="020B0606020202030204" pitchFamily="34" charset="0"/>
              <a:ea typeface="+mn-ea"/>
              <a:cs typeface="+mn-cs"/>
            </a:rPr>
            <a:t>In the absence of a bridge for mutual respect, each side entertains extreme [ISSUE] positions.You or someone on your </a:t>
          </a:r>
          <a:r>
            <a:rPr lang="en-US" sz="1050" spc="-10" baseline="0">
              <a:solidFill>
                <a:schemeClr val="dk1"/>
              </a:solidFill>
              <a:latin typeface="Arial Narrow" panose="020B0606020202030204" pitchFamily="34" charset="0"/>
              <a:ea typeface="+mn-ea"/>
              <a:cs typeface="+mn-cs"/>
            </a:rPr>
            <a:t>side likely insists we [OVERGEN]. That easily provokes extreme elements on the other side. They insist we [OVERGEN] </a:t>
          </a:r>
          <a:r>
            <a:rPr lang="en-US" sz="1050" baseline="0">
              <a:solidFill>
                <a:schemeClr val="dk1"/>
              </a:solidFill>
              <a:latin typeface="Arial Narrow" panose="020B0606020202030204" pitchFamily="34" charset="0"/>
              <a:ea typeface="+mn-ea"/>
              <a:cs typeface="+mn-cs"/>
            </a:rPr>
            <a:t>to serve their prioritized [ISSUE] needs.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In the absence of a bridge for mutual respect, each side entertains extreme positions. You or someone on your side likely insists we go to one extreme. That easily provokes extreme elements on the other side. They insist we go in the opposite extreme, to serve their prioritized needs</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3. Erupting into hate</a:t>
          </a:r>
        </a:p>
        <a:p>
          <a:r>
            <a:rPr lang="en-US" sz="1050" baseline="0">
              <a:solidFill>
                <a:schemeClr val="dk1"/>
              </a:solidFill>
              <a:latin typeface="Arial Narrow" panose="020B0606020202030204" pitchFamily="34" charset="0"/>
              <a:ea typeface="+mn-ea"/>
              <a:cs typeface="+mn-cs"/>
            </a:rPr>
            <a:t>Soon, loud voices on your side </a:t>
          </a:r>
          <a:r>
            <a:rPr lang="en-US" sz="1050" baseline="0">
              <a:solidFill>
                <a:schemeClr val="dk1"/>
              </a:solidFill>
              <a:effectLst/>
              <a:latin typeface="Arial Narrow" panose="020B0606020202030204" pitchFamily="34" charset="0"/>
              <a:ea typeface="+mn-ea"/>
              <a:cs typeface="+mn-cs"/>
            </a:rPr>
            <a:t>denounces the other side as a bunch of [EPITH]. Their obnoxious voices likely denounce your side as full of [EPITH]. This descent into mean-spirited squabbling easly passes for political debate. You need an effective way to convey your [ISSUE] affected needs. Divisive politics fails you every time.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a:t>
          </a:r>
          <a:r>
            <a:rPr lang="en-US" sz="1050" baseline="0">
              <a:solidFill>
                <a:srgbClr val="CC00CC"/>
              </a:solidFill>
              <a:latin typeface="Arial Narrow" panose="020B0606020202030204" pitchFamily="34" charset="0"/>
              <a:ea typeface="+mn-ea"/>
              <a:cs typeface="+mn-cs"/>
            </a:rPr>
            <a:t>.</a:t>
          </a:r>
        </a:p>
        <a:p>
          <a:endParaRPr lang="en-US" sz="1050">
            <a:effectLst/>
            <a:latin typeface="Arial Narrow" panose="020B0606020202030204" pitchFamily="34" charset="0"/>
          </a:endParaRPr>
        </a:p>
        <a:p>
          <a:r>
            <a:rPr lang="en-US" sz="1050" b="1" baseline="0">
              <a:solidFill>
                <a:srgbClr val="CC00CC"/>
              </a:solidFill>
              <a:latin typeface="Arial Narrow" panose="020B0606020202030204" pitchFamily="34" charset="0"/>
              <a:ea typeface="+mn-ea"/>
              <a:cs typeface="+mn-cs"/>
            </a:rPr>
            <a:t>WIDE</a:t>
          </a:r>
          <a:r>
            <a:rPr lang="en-US" sz="1050" baseline="0">
              <a:solidFill>
                <a:srgbClr val="CC00CC"/>
              </a:solidFill>
              <a:latin typeface="Arial Narrow" panose="020B0606020202030204" pitchFamily="34" charset="0"/>
              <a:ea typeface="+mn-ea"/>
              <a:cs typeface="+mn-cs"/>
            </a:rPr>
            <a:t>: </a:t>
          </a:r>
          <a:r>
            <a:rPr lang="en-US" sz="1050" baseline="0">
              <a:solidFill>
                <a:srgbClr val="780091"/>
              </a:solidFill>
              <a:latin typeface="Arial Narrow" panose="020B0606020202030204" pitchFamily="34" charset="0"/>
              <a:ea typeface="+mn-ea"/>
              <a:cs typeface="+mn-cs"/>
            </a:rPr>
            <a:t>"bigot!" {'right-winger'}</a:t>
          </a:r>
        </a:p>
        <a:p>
          <a:r>
            <a:rPr lang="en-US" sz="1050" b="1" baseline="0">
              <a:solidFill>
                <a:srgbClr val="CC00CC"/>
              </a:solidFill>
              <a:latin typeface="Arial Narrow" panose="020B0606020202030204" pitchFamily="34" charset="0"/>
              <a:ea typeface="+mn-ea"/>
              <a:cs typeface="+mn-cs"/>
            </a:rPr>
            <a:t>DEEP</a:t>
          </a:r>
          <a:r>
            <a:rPr lang="en-US" sz="1050" baseline="0">
              <a:solidFill>
                <a:srgbClr val="CC00CC"/>
              </a:solidFill>
              <a:latin typeface="Arial Narrow" panose="020B0606020202030204" pitchFamily="34" charset="0"/>
              <a:ea typeface="+mn-ea"/>
              <a:cs typeface="+mn-cs"/>
            </a:rPr>
            <a:t>: </a:t>
          </a:r>
          <a:r>
            <a:rPr lang="en-US" sz="1050" baseline="0">
              <a:solidFill>
                <a:srgbClr val="780091"/>
              </a:solidFill>
              <a:latin typeface="Arial Narrow" panose="020B0606020202030204" pitchFamily="34" charset="0"/>
              <a:ea typeface="+mn-ea"/>
              <a:cs typeface="+mn-cs"/>
            </a:rPr>
            <a:t>"libtard!" {'left-winger'}</a:t>
          </a:r>
        </a:p>
      </xdr:txBody>
    </xdr:sp>
    <xdr:clientData/>
  </xdr:twoCellAnchor>
  <xdr:oneCellAnchor>
    <xdr:from>
      <xdr:col>14</xdr:col>
      <xdr:colOff>110067</xdr:colOff>
      <xdr:row>311</xdr:row>
      <xdr:rowOff>0</xdr:rowOff>
    </xdr:from>
    <xdr:ext cx="6047584" cy="1507029"/>
    <xdr:pic>
      <xdr:nvPicPr>
        <xdr:cNvPr id="328" name="Picture 327" hidden="1">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55969747"/>
          <a:ext cx="6047584" cy="1507029"/>
        </a:xfrm>
        <a:prstGeom prst="rect">
          <a:avLst/>
        </a:prstGeom>
      </xdr:spPr>
    </xdr:pic>
    <xdr:clientData/>
  </xdr:oneCellAnchor>
  <xdr:oneCellAnchor>
    <xdr:from>
      <xdr:col>14</xdr:col>
      <xdr:colOff>110067</xdr:colOff>
      <xdr:row>406</xdr:row>
      <xdr:rowOff>8467</xdr:rowOff>
    </xdr:from>
    <xdr:ext cx="6047584" cy="1507029"/>
    <xdr:pic>
      <xdr:nvPicPr>
        <xdr:cNvPr id="336" name="Picture 335" hidden="1">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64260307"/>
          <a:ext cx="6047584" cy="1507029"/>
        </a:xfrm>
        <a:prstGeom prst="rect">
          <a:avLst/>
        </a:prstGeom>
      </xdr:spPr>
    </xdr:pic>
    <xdr:clientData/>
  </xdr:oneCellAnchor>
  <xdr:twoCellAnchor>
    <xdr:from>
      <xdr:col>19</xdr:col>
      <xdr:colOff>476450</xdr:colOff>
      <xdr:row>384</xdr:row>
      <xdr:rowOff>106814</xdr:rowOff>
    </xdr:from>
    <xdr:to>
      <xdr:col>22</xdr:col>
      <xdr:colOff>496502</xdr:colOff>
      <xdr:row>384</xdr:row>
      <xdr:rowOff>302795</xdr:rowOff>
    </xdr:to>
    <xdr:sp macro="" textlink="">
      <xdr:nvSpPr>
        <xdr:cNvPr id="337" name="Arrow: Left 336">
          <a:hlinkClick xmlns:r="http://schemas.openxmlformats.org/officeDocument/2006/relationships" r:id="rId3" tooltip="back to Harmony Politics tab"/>
          <a:extLst>
            <a:ext uri="{FF2B5EF4-FFF2-40B4-BE49-F238E27FC236}">
              <a16:creationId xmlns:a16="http://schemas.microsoft.com/office/drawing/2014/main" id="{00000000-0008-0000-0000-000051010000}"/>
            </a:ext>
          </a:extLst>
        </xdr:cNvPr>
        <xdr:cNvSpPr/>
      </xdr:nvSpPr>
      <xdr:spPr>
        <a:xfrm>
          <a:off x="8866070" y="6793243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384</xdr:row>
      <xdr:rowOff>62369</xdr:rowOff>
    </xdr:from>
    <xdr:to>
      <xdr:col>26</xdr:col>
      <xdr:colOff>488215</xdr:colOff>
      <xdr:row>384</xdr:row>
      <xdr:rowOff>302426</xdr:rowOff>
    </xdr:to>
    <xdr:sp macro="" textlink="">
      <xdr:nvSpPr>
        <xdr:cNvPr id="340" name="Arrow: Left 339">
          <a:hlinkClick xmlns:r="http://schemas.openxmlformats.org/officeDocument/2006/relationships" r:id="rId2" tooltip="back to Harmony Politics tab"/>
          <a:extLst>
            <a:ext uri="{FF2B5EF4-FFF2-40B4-BE49-F238E27FC236}">
              <a16:creationId xmlns:a16="http://schemas.microsoft.com/office/drawing/2014/main" id="{00000000-0008-0000-0000-000054010000}"/>
            </a:ext>
          </a:extLst>
        </xdr:cNvPr>
        <xdr:cNvSpPr/>
      </xdr:nvSpPr>
      <xdr:spPr>
        <a:xfrm>
          <a:off x="10869463" y="5935358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17</xdr:col>
      <xdr:colOff>415490</xdr:colOff>
      <xdr:row>348</xdr:row>
      <xdr:rowOff>99194</xdr:rowOff>
    </xdr:from>
    <xdr:to>
      <xdr:col>20</xdr:col>
      <xdr:colOff>435542</xdr:colOff>
      <xdr:row>348</xdr:row>
      <xdr:rowOff>295175</xdr:rowOff>
    </xdr:to>
    <xdr:sp macro="" textlink="">
      <xdr:nvSpPr>
        <xdr:cNvPr id="348" name="Arrow: Left 347">
          <a:hlinkClick xmlns:r="http://schemas.openxmlformats.org/officeDocument/2006/relationships" r:id="rId3" tooltip="back to Harmony Politics tab"/>
          <a:extLst>
            <a:ext uri="{FF2B5EF4-FFF2-40B4-BE49-F238E27FC236}">
              <a16:creationId xmlns:a16="http://schemas.microsoft.com/office/drawing/2014/main" id="{00000000-0008-0000-0000-00005C010000}"/>
            </a:ext>
          </a:extLst>
        </xdr:cNvPr>
        <xdr:cNvSpPr/>
      </xdr:nvSpPr>
      <xdr:spPr>
        <a:xfrm>
          <a:off x="7799270" y="5939041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365</xdr:row>
      <xdr:rowOff>5348</xdr:rowOff>
    </xdr:from>
    <xdr:to>
      <xdr:col>27</xdr:col>
      <xdr:colOff>118976</xdr:colOff>
      <xdr:row>365</xdr:row>
      <xdr:rowOff>105611</xdr:rowOff>
    </xdr:to>
    <xdr:sp macro="" textlink="">
      <xdr:nvSpPr>
        <xdr:cNvPr id="349" name="Right Triangle 348">
          <a:extLst>
            <a:ext uri="{FF2B5EF4-FFF2-40B4-BE49-F238E27FC236}">
              <a16:creationId xmlns:a16="http://schemas.microsoft.com/office/drawing/2014/main" id="{00000000-0008-0000-0000-00005D010000}"/>
            </a:ext>
          </a:extLst>
        </xdr:cNvPr>
        <xdr:cNvSpPr/>
      </xdr:nvSpPr>
      <xdr:spPr>
        <a:xfrm flipH="1" flipV="1">
          <a:off x="12458429" y="6224550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348</xdr:row>
      <xdr:rowOff>62369</xdr:rowOff>
    </xdr:from>
    <xdr:to>
      <xdr:col>26</xdr:col>
      <xdr:colOff>488215</xdr:colOff>
      <xdr:row>348</xdr:row>
      <xdr:rowOff>302426</xdr:rowOff>
    </xdr:to>
    <xdr:sp macro="" textlink="">
      <xdr:nvSpPr>
        <xdr:cNvPr id="351" name="Arrow: Left 350">
          <a:hlinkClick xmlns:r="http://schemas.openxmlformats.org/officeDocument/2006/relationships" r:id="rId2" tooltip="back to Harmony Politics tab"/>
          <a:extLst>
            <a:ext uri="{FF2B5EF4-FFF2-40B4-BE49-F238E27FC236}">
              <a16:creationId xmlns:a16="http://schemas.microsoft.com/office/drawing/2014/main" id="{00000000-0008-0000-0000-00005F010000}"/>
            </a:ext>
          </a:extLst>
        </xdr:cNvPr>
        <xdr:cNvSpPr/>
      </xdr:nvSpPr>
      <xdr:spPr>
        <a:xfrm>
          <a:off x="10869463" y="5935358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83820</xdr:colOff>
      <xdr:row>358</xdr:row>
      <xdr:rowOff>68580</xdr:rowOff>
    </xdr:from>
    <xdr:to>
      <xdr:col>6</xdr:col>
      <xdr:colOff>499872</xdr:colOff>
      <xdr:row>361</xdr:row>
      <xdr:rowOff>228600</xdr:rowOff>
    </xdr:to>
    <xdr:sp macro="" textlink="">
      <xdr:nvSpPr>
        <xdr:cNvPr id="352" name="Listen W bubble">
          <a:extLst>
            <a:ext uri="{FF2B5EF4-FFF2-40B4-BE49-F238E27FC236}">
              <a16:creationId xmlns:a16="http://schemas.microsoft.com/office/drawing/2014/main" id="{00000000-0008-0000-0000-000060010000}"/>
            </a:ext>
          </a:extLst>
        </xdr:cNvPr>
        <xdr:cNvSpPr/>
      </xdr:nvSpPr>
      <xdr:spPr>
        <a:xfrm>
          <a:off x="83820" y="87043260"/>
          <a:ext cx="3044952" cy="914400"/>
        </a:xfrm>
        <a:prstGeom prst="wedgeRoundRectCallout">
          <a:avLst>
            <a:gd name="adj1" fmla="val -37843"/>
            <a:gd name="adj2" fmla="val -63031"/>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7620</xdr:colOff>
      <xdr:row>358</xdr:row>
      <xdr:rowOff>68580</xdr:rowOff>
    </xdr:from>
    <xdr:to>
      <xdr:col>13</xdr:col>
      <xdr:colOff>35052</xdr:colOff>
      <xdr:row>361</xdr:row>
      <xdr:rowOff>228600</xdr:rowOff>
    </xdr:to>
    <xdr:sp macro="" textlink="">
      <xdr:nvSpPr>
        <xdr:cNvPr id="353" name="Listen D bubble">
          <a:extLst>
            <a:ext uri="{FF2B5EF4-FFF2-40B4-BE49-F238E27FC236}">
              <a16:creationId xmlns:a16="http://schemas.microsoft.com/office/drawing/2014/main" id="{00000000-0008-0000-0000-000061010000}"/>
            </a:ext>
          </a:extLst>
        </xdr:cNvPr>
        <xdr:cNvSpPr/>
      </xdr:nvSpPr>
      <xdr:spPr>
        <a:xfrm>
          <a:off x="3139440" y="70104000"/>
          <a:ext cx="3044952" cy="914400"/>
        </a:xfrm>
        <a:prstGeom prst="wedgeRoundRectCallout">
          <a:avLst>
            <a:gd name="adj1" fmla="val 39219"/>
            <a:gd name="adj2" fmla="val -64095"/>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83820</xdr:colOff>
      <xdr:row>365</xdr:row>
      <xdr:rowOff>60960</xdr:rowOff>
    </xdr:from>
    <xdr:to>
      <xdr:col>6</xdr:col>
      <xdr:colOff>499872</xdr:colOff>
      <xdr:row>368</xdr:row>
      <xdr:rowOff>220980</xdr:rowOff>
    </xdr:to>
    <xdr:sp macro="" textlink="">
      <xdr:nvSpPr>
        <xdr:cNvPr id="354" name="Affirm W bubble">
          <a:extLst>
            <a:ext uri="{FF2B5EF4-FFF2-40B4-BE49-F238E27FC236}">
              <a16:creationId xmlns:a16="http://schemas.microsoft.com/office/drawing/2014/main" id="{00000000-0008-0000-0000-000062010000}"/>
            </a:ext>
          </a:extLst>
        </xdr:cNvPr>
        <xdr:cNvSpPr/>
      </xdr:nvSpPr>
      <xdr:spPr>
        <a:xfrm>
          <a:off x="83820" y="81202415"/>
          <a:ext cx="3033022" cy="922020"/>
        </a:xfrm>
        <a:prstGeom prst="wedgeRoundRectCallout">
          <a:avLst>
            <a:gd name="adj1" fmla="val -37843"/>
            <a:gd name="adj2" fmla="val -63031"/>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0</xdr:colOff>
      <xdr:row>365</xdr:row>
      <xdr:rowOff>60960</xdr:rowOff>
    </xdr:from>
    <xdr:to>
      <xdr:col>13</xdr:col>
      <xdr:colOff>27432</xdr:colOff>
      <xdr:row>368</xdr:row>
      <xdr:rowOff>220980</xdr:rowOff>
    </xdr:to>
    <xdr:sp macro="" textlink="">
      <xdr:nvSpPr>
        <xdr:cNvPr id="355" name="Affirm D bubble">
          <a:extLst>
            <a:ext uri="{FF2B5EF4-FFF2-40B4-BE49-F238E27FC236}">
              <a16:creationId xmlns:a16="http://schemas.microsoft.com/office/drawing/2014/main" id="{00000000-0008-0000-0000-000063010000}"/>
            </a:ext>
          </a:extLst>
        </xdr:cNvPr>
        <xdr:cNvSpPr/>
      </xdr:nvSpPr>
      <xdr:spPr>
        <a:xfrm>
          <a:off x="3131820" y="71856600"/>
          <a:ext cx="3044952" cy="914400"/>
        </a:xfrm>
        <a:prstGeom prst="wedgeRoundRectCallout">
          <a:avLst>
            <a:gd name="adj1" fmla="val 39219"/>
            <a:gd name="adj2" fmla="val -64095"/>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83820</xdr:colOff>
      <xdr:row>372</xdr:row>
      <xdr:rowOff>76200</xdr:rowOff>
    </xdr:from>
    <xdr:to>
      <xdr:col>6</xdr:col>
      <xdr:colOff>499872</xdr:colOff>
      <xdr:row>376</xdr:row>
      <xdr:rowOff>213360</xdr:rowOff>
    </xdr:to>
    <xdr:sp macro="" textlink="">
      <xdr:nvSpPr>
        <xdr:cNvPr id="356" name="Offer W bubble">
          <a:extLst>
            <a:ext uri="{FF2B5EF4-FFF2-40B4-BE49-F238E27FC236}">
              <a16:creationId xmlns:a16="http://schemas.microsoft.com/office/drawing/2014/main" id="{00000000-0008-0000-0000-000064010000}"/>
            </a:ext>
          </a:extLst>
        </xdr:cNvPr>
        <xdr:cNvSpPr/>
      </xdr:nvSpPr>
      <xdr:spPr>
        <a:xfrm>
          <a:off x="83820" y="73243440"/>
          <a:ext cx="3044952" cy="1143000"/>
        </a:xfrm>
        <a:prstGeom prst="wedgeRoundRectCallout">
          <a:avLst>
            <a:gd name="adj1" fmla="val -39905"/>
            <a:gd name="adj2" fmla="val -62122"/>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0</xdr:colOff>
      <xdr:row>372</xdr:row>
      <xdr:rowOff>76200</xdr:rowOff>
    </xdr:from>
    <xdr:to>
      <xdr:col>13</xdr:col>
      <xdr:colOff>27432</xdr:colOff>
      <xdr:row>376</xdr:row>
      <xdr:rowOff>213360</xdr:rowOff>
    </xdr:to>
    <xdr:sp macro="" textlink="">
      <xdr:nvSpPr>
        <xdr:cNvPr id="357" name="Offer D bubble">
          <a:extLst>
            <a:ext uri="{FF2B5EF4-FFF2-40B4-BE49-F238E27FC236}">
              <a16:creationId xmlns:a16="http://schemas.microsoft.com/office/drawing/2014/main" id="{00000000-0008-0000-0000-000065010000}"/>
            </a:ext>
          </a:extLst>
        </xdr:cNvPr>
        <xdr:cNvSpPr/>
      </xdr:nvSpPr>
      <xdr:spPr>
        <a:xfrm>
          <a:off x="3131820" y="73632060"/>
          <a:ext cx="3044952" cy="1143000"/>
        </a:xfrm>
        <a:prstGeom prst="wedgeRoundRectCallout">
          <a:avLst>
            <a:gd name="adj1" fmla="val 41023"/>
            <a:gd name="adj2" fmla="val -62050"/>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635</xdr:row>
      <xdr:rowOff>66104</xdr:rowOff>
    </xdr:from>
    <xdr:to>
      <xdr:col>26</xdr:col>
      <xdr:colOff>488215</xdr:colOff>
      <xdr:row>635</xdr:row>
      <xdr:rowOff>300185</xdr:rowOff>
    </xdr:to>
    <xdr:sp macro="" textlink="">
      <xdr:nvSpPr>
        <xdr:cNvPr id="370" name="Arrow: Left 369">
          <a:hlinkClick xmlns:r="http://schemas.openxmlformats.org/officeDocument/2006/relationships" r:id="rId2" tooltip="back to Harmony Politics tab"/>
          <a:extLst>
            <a:ext uri="{FF2B5EF4-FFF2-40B4-BE49-F238E27FC236}">
              <a16:creationId xmlns:a16="http://schemas.microsoft.com/office/drawing/2014/main" id="{00000000-0008-0000-0000-000072010000}"/>
            </a:ext>
          </a:extLst>
        </xdr:cNvPr>
        <xdr:cNvSpPr/>
      </xdr:nvSpPr>
      <xdr:spPr>
        <a:xfrm>
          <a:off x="10869463" y="130939604"/>
          <a:ext cx="152881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xdr:col>
      <xdr:colOff>43630</xdr:colOff>
      <xdr:row>516</xdr:row>
      <xdr:rowOff>109504</xdr:rowOff>
    </xdr:from>
    <xdr:to>
      <xdr:col>12</xdr:col>
      <xdr:colOff>455110</xdr:colOff>
      <xdr:row>518</xdr:row>
      <xdr:rowOff>114300</xdr:rowOff>
    </xdr:to>
    <xdr:sp macro="" textlink="">
      <xdr:nvSpPr>
        <xdr:cNvPr id="320" name="TextBox 319">
          <a:extLst>
            <a:ext uri="{FF2B5EF4-FFF2-40B4-BE49-F238E27FC236}">
              <a16:creationId xmlns:a16="http://schemas.microsoft.com/office/drawing/2014/main" id="{00000000-0008-0000-0000-000040010000}"/>
            </a:ext>
          </a:extLst>
        </xdr:cNvPr>
        <xdr:cNvSpPr txBox="1"/>
      </xdr:nvSpPr>
      <xdr:spPr>
        <a:xfrm>
          <a:off x="157930" y="124208824"/>
          <a:ext cx="5943600" cy="507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 receive support to </a:t>
          </a:r>
          <a:r>
            <a:rPr lang="en-US" sz="1100" b="1" i="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i="0" baseline="0">
              <a:solidFill>
                <a:schemeClr val="dk1"/>
              </a:solidFill>
              <a:effectLst/>
              <a:latin typeface="Cambria" panose="02040503050406030204" pitchFamily="18" charset="0"/>
              <a:ea typeface="Cambria" panose="02040503050406030204" pitchFamily="18" charset="0"/>
              <a:cs typeface="+mn-cs"/>
            </a:rPr>
            <a:t>. The IPM incentives the AI to </a:t>
          </a:r>
          <a:r>
            <a:rPr lang="en-US" sz="1100" b="1" i="1" baseline="0">
              <a:solidFill>
                <a:schemeClr val="dk1"/>
              </a:solidFill>
              <a:effectLst/>
              <a:latin typeface="Cambria" panose="02040503050406030204" pitchFamily="18" charset="0"/>
              <a:ea typeface="Cambria" panose="02040503050406030204" pitchFamily="18" charset="0"/>
              <a:cs typeface="+mn-cs"/>
            </a:rPr>
            <a:t>listen to those impacted</a:t>
          </a:r>
          <a:r>
            <a:rPr lang="en-US" sz="1100" b="0" i="0" baseline="0">
              <a:solidFill>
                <a:schemeClr val="dk1"/>
              </a:solidFill>
              <a:effectLst/>
              <a:latin typeface="Cambria" panose="02040503050406030204" pitchFamily="18" charset="0"/>
              <a:ea typeface="Cambria" panose="02040503050406030204" pitchFamily="18" charset="0"/>
              <a:cs typeface="+mn-cs"/>
            </a:rPr>
            <a:t>. </a:t>
          </a:r>
          <a:r>
            <a:rPr lang="en-US" sz="1100" b="0" baseline="0">
              <a:solidFill>
                <a:schemeClr val="dk1"/>
              </a:solidFill>
              <a:effectLst/>
              <a:latin typeface="Cambria" panose="02040503050406030204" pitchFamily="18" charset="0"/>
              <a:ea typeface="Cambria" panose="02040503050406030204" pitchFamily="18" charset="0"/>
              <a:cs typeface="+mn-cs"/>
            </a:rPr>
            <a:t>The IPM incentivizes those in power to invest in those they impact with their power.</a:t>
          </a:r>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xdr:col>
      <xdr:colOff>7472</xdr:colOff>
      <xdr:row>488</xdr:row>
      <xdr:rowOff>190500</xdr:rowOff>
    </xdr:from>
    <xdr:to>
      <xdr:col>13</xdr:col>
      <xdr:colOff>7472</xdr:colOff>
      <xdr:row>491</xdr:row>
      <xdr:rowOff>60960</xdr:rowOff>
    </xdr:to>
    <xdr:sp macro="" textlink="">
      <xdr:nvSpPr>
        <xdr:cNvPr id="324" name="TextBox 323">
          <a:extLst>
            <a:ext uri="{FF2B5EF4-FFF2-40B4-BE49-F238E27FC236}">
              <a16:creationId xmlns:a16="http://schemas.microsoft.com/office/drawing/2014/main" id="{00000000-0008-0000-0000-000044010000}"/>
            </a:ext>
          </a:extLst>
        </xdr:cNvPr>
        <xdr:cNvSpPr txBox="1"/>
      </xdr:nvSpPr>
      <xdr:spPr>
        <a:xfrm>
          <a:off x="121772" y="117835680"/>
          <a:ext cx="6035040" cy="624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1" baseline="0">
              <a:solidFill>
                <a:schemeClr val="dk1"/>
              </a:solidFill>
              <a:effectLst/>
              <a:latin typeface="Cambria" panose="02040503050406030204" pitchFamily="18" charset="0"/>
              <a:ea typeface="Cambria" panose="02040503050406030204" pitchFamily="18" charset="0"/>
              <a:cs typeface="+mn-cs"/>
            </a:rPr>
            <a:t>Power relations </a:t>
          </a:r>
          <a:r>
            <a:rPr lang="en-US" sz="1200" b="0" baseline="0">
              <a:solidFill>
                <a:schemeClr val="dk1"/>
              </a:solidFill>
              <a:effectLst/>
              <a:latin typeface="Cambria" panose="02040503050406030204" pitchFamily="18" charset="0"/>
              <a:ea typeface="Cambria" panose="02040503050406030204" pitchFamily="18" charset="0"/>
              <a:cs typeface="+mn-cs"/>
            </a:rPr>
            <a:t>easily</a:t>
          </a:r>
          <a:r>
            <a:rPr lang="en-US" sz="1200" b="1" baseline="0">
              <a:solidFill>
                <a:schemeClr val="dk1"/>
              </a:solidFill>
              <a:effectLst/>
              <a:latin typeface="Cambria" panose="02040503050406030204" pitchFamily="18" charset="0"/>
              <a:ea typeface="Cambria" panose="02040503050406030204" pitchFamily="18" charset="0"/>
              <a:cs typeface="+mn-cs"/>
            </a:rPr>
            <a:t> </a:t>
          </a:r>
          <a:r>
            <a:rPr lang="en-US" sz="1200" b="0" baseline="0">
              <a:solidFill>
                <a:schemeClr val="dk1"/>
              </a:solidFill>
              <a:effectLst/>
              <a:latin typeface="Cambria" panose="02040503050406030204" pitchFamily="18" charset="0"/>
              <a:ea typeface="Cambria" panose="02040503050406030204" pitchFamily="18" charset="0"/>
              <a:cs typeface="+mn-cs"/>
            </a:rPr>
            <a:t>distort how well each side can resolve their needs. You both have needs not being met. The </a:t>
          </a:r>
          <a:r>
            <a:rPr lang="en-US" sz="1200" b="1" baseline="0">
              <a:solidFill>
                <a:schemeClr val="dk1"/>
              </a:solidFill>
              <a:effectLst/>
              <a:latin typeface="Cambria" panose="02040503050406030204" pitchFamily="18" charset="0"/>
              <a:ea typeface="Cambria" panose="02040503050406030204" pitchFamily="18" charset="0"/>
              <a:cs typeface="+mn-cs"/>
            </a:rPr>
            <a:t>impact parity model</a:t>
          </a:r>
          <a:r>
            <a:rPr lang="en-US" sz="1200" b="0" baseline="0">
              <a:solidFill>
                <a:schemeClr val="dk1"/>
              </a:solidFill>
              <a:effectLst/>
              <a:latin typeface="Cambria" panose="02040503050406030204" pitchFamily="18" charset="0"/>
              <a:ea typeface="Cambria" panose="02040503050406030204" pitchFamily="18" charset="0"/>
              <a:cs typeface="+mn-cs"/>
            </a:rPr>
            <a:t> mutually addresses each other's affected needs. It offers a concilatory process to accountably resolve each other's affected needs.</a:t>
          </a:r>
        </a:p>
      </xdr:txBody>
    </xdr:sp>
    <xdr:clientData/>
  </xdr:twoCellAnchor>
  <xdr:twoCellAnchor>
    <xdr:from>
      <xdr:col>1</xdr:col>
      <xdr:colOff>45572</xdr:colOff>
      <xdr:row>497</xdr:row>
      <xdr:rowOff>83820</xdr:rowOff>
    </xdr:from>
    <xdr:to>
      <xdr:col>6</xdr:col>
      <xdr:colOff>434339</xdr:colOff>
      <xdr:row>503</xdr:row>
      <xdr:rowOff>78441</xdr:rowOff>
    </xdr:to>
    <xdr:sp macro="" textlink="">
      <xdr:nvSpPr>
        <xdr:cNvPr id="364" name="TextBox 363">
          <a:extLst>
            <a:ext uri="{FF2B5EF4-FFF2-40B4-BE49-F238E27FC236}">
              <a16:creationId xmlns:a16="http://schemas.microsoft.com/office/drawing/2014/main" id="{00000000-0008-0000-0000-00006C010000}"/>
            </a:ext>
          </a:extLst>
        </xdr:cNvPr>
        <xdr:cNvSpPr txBox="1"/>
      </xdr:nvSpPr>
      <xdr:spPr>
        <a:xfrm>
          <a:off x="159872" y="119786400"/>
          <a:ext cx="2903367" cy="1312881"/>
        </a:xfrm>
        <a:prstGeom prst="rect">
          <a:avLst/>
        </a:prstGeom>
        <a:solidFill>
          <a:srgbClr val="F3FFF7"/>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 as the RI need to </a:t>
          </a:r>
          <a:r>
            <a:rPr lang="en-US" sz="1100" b="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baseline="0">
              <a:solidFill>
                <a:schemeClr val="dk1"/>
              </a:solidFill>
              <a:effectLst/>
              <a:latin typeface="Cambria" panose="02040503050406030204" pitchFamily="18" charset="0"/>
              <a:ea typeface="Cambria" panose="02040503050406030204" pitchFamily="18" charset="0"/>
              <a:cs typeface="+mn-cs"/>
            </a:rPr>
            <a:t>. You cannot function at full steam while coerced by powerful others. They likely don't even realize the harsh impact this power relation has on you, and on your politicized need. So you tell them. They need to know. For the right price. You have leverage here.</a:t>
          </a:r>
        </a:p>
      </xdr:txBody>
    </xdr:sp>
    <xdr:clientData/>
  </xdr:twoCellAnchor>
  <xdr:twoCellAnchor>
    <xdr:from>
      <xdr:col>7</xdr:col>
      <xdr:colOff>76052</xdr:colOff>
      <xdr:row>497</xdr:row>
      <xdr:rowOff>83820</xdr:rowOff>
    </xdr:from>
    <xdr:to>
      <xdr:col>12</xdr:col>
      <xdr:colOff>464819</xdr:colOff>
      <xdr:row>503</xdr:row>
      <xdr:rowOff>78441</xdr:rowOff>
    </xdr:to>
    <xdr:sp macro="" textlink="">
      <xdr:nvSpPr>
        <xdr:cNvPr id="373" name="TextBox 372">
          <a:extLst>
            <a:ext uri="{FF2B5EF4-FFF2-40B4-BE49-F238E27FC236}">
              <a16:creationId xmlns:a16="http://schemas.microsoft.com/office/drawing/2014/main" id="{00000000-0008-0000-0000-000075010000}"/>
            </a:ext>
          </a:extLst>
        </xdr:cNvPr>
        <xdr:cNvSpPr txBox="1"/>
      </xdr:nvSpPr>
      <xdr:spPr>
        <a:xfrm>
          <a:off x="3207872" y="119786400"/>
          <a:ext cx="2903367" cy="1312881"/>
        </a:xfrm>
        <a:prstGeom prst="rect">
          <a:avLst/>
        </a:prstGeom>
        <a:solidFill>
          <a:srgbClr val="FFF3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Each AI needs to </a:t>
          </a:r>
          <a:r>
            <a:rPr lang="en-US" sz="1100" b="1" baseline="0">
              <a:solidFill>
                <a:schemeClr val="dk1"/>
              </a:solidFill>
              <a:effectLst/>
              <a:latin typeface="Cambria" panose="02040503050406030204" pitchFamily="18" charset="0"/>
              <a:ea typeface="Cambria" panose="02040503050406030204" pitchFamily="18" charset="0"/>
              <a:cs typeface="+mn-cs"/>
            </a:rPr>
            <a:t>listen to those they impact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0" spc="-20" baseline="0">
              <a:solidFill>
                <a:schemeClr val="dk1"/>
              </a:solidFill>
              <a:effectLst/>
              <a:latin typeface="Cambria" panose="02040503050406030204" pitchFamily="18" charset="0"/>
              <a:ea typeface="Cambria" panose="02040503050406030204" pitchFamily="18" charset="0"/>
              <a:cs typeface="+mn-cs"/>
            </a:rPr>
            <a:t>They require essential data to perform their role.</a:t>
          </a:r>
          <a:r>
            <a:rPr lang="en-US" sz="1100" b="0" baseline="0">
              <a:solidFill>
                <a:schemeClr val="dk1"/>
              </a:solidFill>
              <a:effectLst/>
              <a:latin typeface="Cambria" panose="02040503050406030204" pitchFamily="18" charset="0"/>
              <a:ea typeface="Cambria" panose="02040503050406030204" pitchFamily="18" charset="0"/>
              <a:cs typeface="+mn-cs"/>
            </a:rPr>
            <a:t> They require your data. And we will give it to them, for a price. It's </a:t>
          </a:r>
          <a:r>
            <a:rPr lang="en-US" sz="1100" b="0" i="1" baseline="0">
              <a:solidFill>
                <a:schemeClr val="dk1"/>
              </a:solidFill>
              <a:effectLst/>
              <a:latin typeface="Cambria" panose="02040503050406030204" pitchFamily="18" charset="0"/>
              <a:ea typeface="Cambria" panose="02040503050406030204" pitchFamily="18" charset="0"/>
              <a:cs typeface="+mn-cs"/>
            </a:rPr>
            <a:t>your </a:t>
          </a:r>
          <a:r>
            <a:rPr lang="en-US" sz="1100" b="0" i="0" baseline="0">
              <a:solidFill>
                <a:schemeClr val="dk1"/>
              </a:solidFill>
              <a:effectLst/>
              <a:latin typeface="Cambria" panose="02040503050406030204" pitchFamily="18" charset="0"/>
              <a:ea typeface="Cambria" panose="02040503050406030204" pitchFamily="18" charset="0"/>
              <a:cs typeface="+mn-cs"/>
            </a:rPr>
            <a:t>data. The more they know how to serve your specific needs, the more competitively advantaged over other AIs. You have leverage here, and we will use it.</a:t>
          </a: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20</xdr:col>
      <xdr:colOff>4010</xdr:colOff>
      <xdr:row>311</xdr:row>
      <xdr:rowOff>61094</xdr:rowOff>
    </xdr:from>
    <xdr:to>
      <xdr:col>23</xdr:col>
      <xdr:colOff>24062</xdr:colOff>
      <xdr:row>311</xdr:row>
      <xdr:rowOff>272315</xdr:rowOff>
    </xdr:to>
    <xdr:sp macro="" textlink="">
      <xdr:nvSpPr>
        <xdr:cNvPr id="375" name="Arrow: Left 374">
          <a:hlinkClick xmlns:r="http://schemas.openxmlformats.org/officeDocument/2006/relationships" r:id="rId3" tooltip="back to Harmony Politics tab"/>
          <a:extLst>
            <a:ext uri="{FF2B5EF4-FFF2-40B4-BE49-F238E27FC236}">
              <a16:creationId xmlns:a16="http://schemas.microsoft.com/office/drawing/2014/main" id="{00000000-0008-0000-0000-000077010000}"/>
            </a:ext>
          </a:extLst>
        </xdr:cNvPr>
        <xdr:cNvSpPr/>
      </xdr:nvSpPr>
      <xdr:spPr>
        <a:xfrm>
          <a:off x="8896550" y="94907234"/>
          <a:ext cx="1528812" cy="2112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327</xdr:row>
      <xdr:rowOff>5348</xdr:rowOff>
    </xdr:from>
    <xdr:to>
      <xdr:col>27</xdr:col>
      <xdr:colOff>118976</xdr:colOff>
      <xdr:row>327</xdr:row>
      <xdr:rowOff>105611</xdr:rowOff>
    </xdr:to>
    <xdr:sp macro="" textlink="">
      <xdr:nvSpPr>
        <xdr:cNvPr id="376" name="Right Triangle 375">
          <a:extLst>
            <a:ext uri="{FF2B5EF4-FFF2-40B4-BE49-F238E27FC236}">
              <a16:creationId xmlns:a16="http://schemas.microsoft.com/office/drawing/2014/main" id="{00000000-0008-0000-0000-000078010000}"/>
            </a:ext>
          </a:extLst>
        </xdr:cNvPr>
        <xdr:cNvSpPr/>
      </xdr:nvSpPr>
      <xdr:spPr>
        <a:xfrm flipH="1" flipV="1">
          <a:off x="12458429" y="9814332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455463</xdr:colOff>
      <xdr:row>311</xdr:row>
      <xdr:rowOff>60875</xdr:rowOff>
    </xdr:from>
    <xdr:to>
      <xdr:col>26</xdr:col>
      <xdr:colOff>475515</xdr:colOff>
      <xdr:row>311</xdr:row>
      <xdr:rowOff>300932</xdr:rowOff>
    </xdr:to>
    <xdr:sp macro="" textlink="">
      <xdr:nvSpPr>
        <xdr:cNvPr id="379" name="Arrow: Left 378">
          <a:hlinkClick xmlns:r="http://schemas.openxmlformats.org/officeDocument/2006/relationships" r:id="rId2" tooltip="back to Harmony Politics tab"/>
          <a:extLst>
            <a:ext uri="{FF2B5EF4-FFF2-40B4-BE49-F238E27FC236}">
              <a16:creationId xmlns:a16="http://schemas.microsoft.com/office/drawing/2014/main" id="{00000000-0008-0000-0000-00007B010000}"/>
            </a:ext>
          </a:extLst>
        </xdr:cNvPr>
        <xdr:cNvSpPr/>
      </xdr:nvSpPr>
      <xdr:spPr>
        <a:xfrm>
          <a:off x="10856763" y="94907015"/>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112210</xdr:colOff>
      <xdr:row>464</xdr:row>
      <xdr:rowOff>101884</xdr:rowOff>
    </xdr:from>
    <xdr:to>
      <xdr:col>12</xdr:col>
      <xdr:colOff>500830</xdr:colOff>
      <xdr:row>467</xdr:row>
      <xdr:rowOff>144780</xdr:rowOff>
    </xdr:to>
    <xdr:sp macro="" textlink="">
      <xdr:nvSpPr>
        <xdr:cNvPr id="397" name="TextBox 396">
          <a:hlinkClick xmlns:r="http://schemas.openxmlformats.org/officeDocument/2006/relationships" r:id="rId29"/>
          <a:extLst>
            <a:ext uri="{FF2B5EF4-FFF2-40B4-BE49-F238E27FC236}">
              <a16:creationId xmlns:a16="http://schemas.microsoft.com/office/drawing/2014/main" id="{00000000-0008-0000-0000-00008D010000}"/>
            </a:ext>
          </a:extLst>
        </xdr:cNvPr>
        <xdr:cNvSpPr txBox="1"/>
      </xdr:nvSpPr>
      <xdr:spPr>
        <a:xfrm>
          <a:off x="112210" y="110957644"/>
          <a:ext cx="6035040" cy="66773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0" baseline="0">
              <a:solidFill>
                <a:schemeClr val="dk1"/>
              </a:solidFill>
              <a:effectLst/>
              <a:latin typeface="Cambria" panose="02040503050406030204" pitchFamily="18" charset="0"/>
              <a:ea typeface="Cambria" panose="02040503050406030204" pitchFamily="18" charset="0"/>
              <a:cs typeface="+mn-cs"/>
            </a:rPr>
            <a:t>The </a:t>
          </a:r>
          <a:r>
            <a:rPr lang="en-US" sz="1200" b="1" baseline="0">
              <a:solidFill>
                <a:srgbClr val="0070C0"/>
              </a:solidFill>
              <a:effectLst/>
              <a:latin typeface="Cambria" panose="02040503050406030204" pitchFamily="18" charset="0"/>
              <a:ea typeface="Cambria" panose="02040503050406030204" pitchFamily="18" charset="0"/>
              <a:cs typeface="+mn-cs"/>
            </a:rPr>
            <a:t>impact parity model</a:t>
          </a:r>
          <a:r>
            <a:rPr lang="en-US" sz="1200" b="0" baseline="0">
              <a:solidFill>
                <a:schemeClr val="dk1"/>
              </a:solidFill>
              <a:effectLst/>
              <a:latin typeface="Cambria" panose="02040503050406030204" pitchFamily="18" charset="0"/>
              <a:ea typeface="Cambria" panose="02040503050406030204" pitchFamily="18" charset="0"/>
              <a:cs typeface="+mn-cs"/>
            </a:rPr>
            <a:t>, or IPM, empowers you to address power relations. The IPM identifies the powerholder in that relation as the </a:t>
          </a:r>
          <a:r>
            <a:rPr lang="en-US" sz="1200" b="1" i="1" baseline="0">
              <a:solidFill>
                <a:schemeClr val="dk1"/>
              </a:solidFill>
              <a:effectLst/>
              <a:latin typeface="Cambria" panose="02040503050406030204" pitchFamily="18" charset="0"/>
              <a:ea typeface="Cambria" panose="02040503050406030204" pitchFamily="18" charset="0"/>
              <a:cs typeface="+mn-cs"/>
            </a:rPr>
            <a:t>ascribed impactor</a:t>
          </a:r>
          <a:r>
            <a:rPr lang="en-US" sz="1200" b="0" baseline="0">
              <a:solidFill>
                <a:schemeClr val="dk1"/>
              </a:solidFill>
              <a:effectLst/>
              <a:latin typeface="Cambria" panose="02040503050406030204" pitchFamily="18" charset="0"/>
              <a:ea typeface="Cambria" panose="02040503050406030204" pitchFamily="18" charset="0"/>
              <a:cs typeface="+mn-cs"/>
            </a:rPr>
            <a:t>, or AI. It identifies you, the less influential in the relation, as the </a:t>
          </a:r>
          <a:r>
            <a:rPr lang="en-US" sz="1200" b="1" i="1" baseline="0">
              <a:solidFill>
                <a:schemeClr val="dk1"/>
              </a:solidFill>
              <a:effectLst/>
              <a:latin typeface="Cambria" panose="02040503050406030204" pitchFamily="18" charset="0"/>
              <a:ea typeface="Cambria" panose="02040503050406030204" pitchFamily="18" charset="0"/>
              <a:cs typeface="+mn-cs"/>
            </a:rPr>
            <a:t>reporting impactee</a:t>
          </a:r>
          <a:r>
            <a:rPr lang="en-US" sz="1200" b="0" baseline="0">
              <a:solidFill>
                <a:schemeClr val="dk1"/>
              </a:solidFill>
              <a:effectLst/>
              <a:latin typeface="Cambria" panose="02040503050406030204" pitchFamily="18" charset="0"/>
              <a:ea typeface="Cambria" panose="02040503050406030204" pitchFamily="18" charset="0"/>
              <a:cs typeface="+mn-cs"/>
            </a:rPr>
            <a:t>, or RI. </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xdr:col>
      <xdr:colOff>45572</xdr:colOff>
      <xdr:row>518</xdr:row>
      <xdr:rowOff>91441</xdr:rowOff>
    </xdr:from>
    <xdr:to>
      <xdr:col>6</xdr:col>
      <xdr:colOff>457052</xdr:colOff>
      <xdr:row>522</xdr:row>
      <xdr:rowOff>167641</xdr:rowOff>
    </xdr:to>
    <xdr:sp macro="" textlink="">
      <xdr:nvSpPr>
        <xdr:cNvPr id="398" name="TextBox 397">
          <a:extLst>
            <a:ext uri="{FF2B5EF4-FFF2-40B4-BE49-F238E27FC236}">
              <a16:creationId xmlns:a16="http://schemas.microsoft.com/office/drawing/2014/main" id="{00000000-0008-0000-0000-00008E010000}"/>
            </a:ext>
          </a:extLst>
        </xdr:cNvPr>
        <xdr:cNvSpPr txBox="1"/>
      </xdr:nvSpPr>
      <xdr:spPr>
        <a:xfrm>
          <a:off x="159872" y="124693681"/>
          <a:ext cx="2926080" cy="891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As you </a:t>
          </a:r>
          <a:r>
            <a:rPr lang="en-US" sz="1100" b="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baseline="0">
              <a:solidFill>
                <a:schemeClr val="dk1"/>
              </a:solidFill>
              <a:effectLst/>
              <a:latin typeface="Cambria" panose="02040503050406030204" pitchFamily="18" charset="0"/>
              <a:ea typeface="Cambria" panose="02040503050406030204" pitchFamily="18" charset="0"/>
              <a:cs typeface="+mn-cs"/>
            </a:rPr>
            <a:t>,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more of your needs can resolve;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more of your pain can dissolve;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less anxiety or depression gets you down;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your overall functioning improves.</a:t>
          </a:r>
        </a:p>
      </xdr:txBody>
    </xdr:sp>
    <xdr:clientData/>
  </xdr:twoCellAnchor>
  <xdr:twoCellAnchor>
    <xdr:from>
      <xdr:col>7</xdr:col>
      <xdr:colOff>37951</xdr:colOff>
      <xdr:row>518</xdr:row>
      <xdr:rowOff>99060</xdr:rowOff>
    </xdr:from>
    <xdr:to>
      <xdr:col>12</xdr:col>
      <xdr:colOff>449431</xdr:colOff>
      <xdr:row>522</xdr:row>
      <xdr:rowOff>182880</xdr:rowOff>
    </xdr:to>
    <xdr:sp macro="" textlink="">
      <xdr:nvSpPr>
        <xdr:cNvPr id="399" name="TextBox 398">
          <a:extLst>
            <a:ext uri="{FF2B5EF4-FFF2-40B4-BE49-F238E27FC236}">
              <a16:creationId xmlns:a16="http://schemas.microsoft.com/office/drawing/2014/main" id="{00000000-0008-0000-0000-00008F010000}"/>
            </a:ext>
          </a:extLst>
        </xdr:cNvPr>
        <xdr:cNvSpPr txBox="1"/>
      </xdr:nvSpPr>
      <xdr:spPr>
        <a:xfrm>
          <a:off x="3169771" y="124701300"/>
          <a:ext cx="2926080" cy="8991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As they </a:t>
          </a:r>
          <a:r>
            <a:rPr lang="en-US" sz="1100" b="1" baseline="0">
              <a:solidFill>
                <a:schemeClr val="dk1"/>
              </a:solidFill>
              <a:effectLst/>
              <a:latin typeface="Cambria" panose="02040503050406030204" pitchFamily="18" charset="0"/>
              <a:ea typeface="Cambria" panose="02040503050406030204" pitchFamily="18" charset="0"/>
              <a:cs typeface="+mn-cs"/>
            </a:rPr>
            <a:t>listen to those they impact</a:t>
          </a:r>
          <a:r>
            <a:rPr lang="en-US" sz="1100" b="0" baseline="0">
              <a:solidFill>
                <a:schemeClr val="dk1"/>
              </a:solidFill>
              <a:effectLst/>
              <a:latin typeface="Cambria" panose="02040503050406030204" pitchFamily="18" charset="0"/>
              <a:ea typeface="Cambria" panose="02040503050406030204" pitchFamily="18" charset="0"/>
              <a:cs typeface="+mn-cs"/>
            </a:rPr>
            <a:t>,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gain greater legtimacy;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earn competitive advantage;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improve their branding;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avoid a tarnished reputation.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1</xdr:col>
      <xdr:colOff>3387</xdr:colOff>
      <xdr:row>265</xdr:row>
      <xdr:rowOff>332194</xdr:rowOff>
    </xdr:from>
    <xdr:to>
      <xdr:col>13</xdr:col>
      <xdr:colOff>3387</xdr:colOff>
      <xdr:row>272</xdr:row>
      <xdr:rowOff>73113</xdr:rowOff>
    </xdr:to>
    <xdr:grpSp>
      <xdr:nvGrpSpPr>
        <xdr:cNvPr id="121" name="Group 120">
          <a:extLst>
            <a:ext uri="{FF2B5EF4-FFF2-40B4-BE49-F238E27FC236}">
              <a16:creationId xmlns:a16="http://schemas.microsoft.com/office/drawing/2014/main" id="{00000000-0008-0000-0000-000079000000}"/>
            </a:ext>
          </a:extLst>
        </xdr:cNvPr>
        <xdr:cNvGrpSpPr/>
      </xdr:nvGrpSpPr>
      <xdr:grpSpPr>
        <a:xfrm>
          <a:off x="117687" y="65589874"/>
          <a:ext cx="6035040" cy="1630679"/>
          <a:chOff x="152400" y="56110374"/>
          <a:chExt cx="6062134" cy="1717113"/>
        </a:xfrm>
      </xdr:grpSpPr>
      <xdr:sp macro="" textlink="">
        <xdr:nvSpPr>
          <xdr:cNvPr id="120" name="Rectangle 119">
            <a:extLst>
              <a:ext uri="{FF2B5EF4-FFF2-40B4-BE49-F238E27FC236}">
                <a16:creationId xmlns:a16="http://schemas.microsoft.com/office/drawing/2014/main" id="{00000000-0008-0000-0000-000078000000}"/>
              </a:ext>
            </a:extLst>
          </xdr:cNvPr>
          <xdr:cNvSpPr/>
        </xdr:nvSpPr>
        <xdr:spPr>
          <a:xfrm>
            <a:off x="152400" y="56167867"/>
            <a:ext cx="6062134" cy="1659620"/>
          </a:xfrm>
          <a:prstGeom prst="rect">
            <a:avLst/>
          </a:prstGeom>
          <a:gradFill flip="none" rotWithShape="1">
            <a:gsLst>
              <a:gs pos="0">
                <a:srgbClr val="7030A0"/>
              </a:gs>
              <a:gs pos="50000">
                <a:srgbClr val="780091"/>
              </a:gs>
              <a:gs pos="100000">
                <a:srgbClr val="7030A0"/>
              </a:gs>
            </a:gsLst>
            <a:lin ang="16200000" scaled="1"/>
            <a:tileRect/>
          </a:gra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718734" y="56175222"/>
            <a:ext cx="2926080" cy="1645864"/>
          </a:xfrm>
          <a:prstGeom prst="rect">
            <a:avLst/>
          </a:prstGeom>
        </xdr:spPr>
      </xdr:pic>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rot="300000">
            <a:off x="4538134" y="56110374"/>
            <a:ext cx="1600200" cy="1611250"/>
          </a:xfrm>
          <a:prstGeom prst="rect">
            <a:avLst/>
          </a:prstGeom>
        </xdr:spPr>
      </xdr:pic>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rot="21300000">
            <a:off x="234665" y="56124463"/>
            <a:ext cx="1600200" cy="1613707"/>
          </a:xfrm>
          <a:prstGeom prst="rect">
            <a:avLst/>
          </a:prstGeom>
        </xdr:spPr>
      </xdr:pic>
    </xdr:grpSp>
    <xdr:clientData/>
  </xdr:twoCellAnchor>
  <xdr:twoCellAnchor editAs="oneCell">
    <xdr:from>
      <xdr:col>1</xdr:col>
      <xdr:colOff>338662</xdr:colOff>
      <xdr:row>228</xdr:row>
      <xdr:rowOff>184573</xdr:rowOff>
    </xdr:from>
    <xdr:to>
      <xdr:col>3</xdr:col>
      <xdr:colOff>162358</xdr:colOff>
      <xdr:row>235</xdr:row>
      <xdr:rowOff>234757</xdr:rowOff>
    </xdr:to>
    <xdr:pic>
      <xdr:nvPicPr>
        <xdr:cNvPr id="131" name="Picture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52962" y="57265993"/>
          <a:ext cx="829536" cy="1810404"/>
        </a:xfrm>
        <a:prstGeom prst="rect">
          <a:avLst/>
        </a:prstGeom>
      </xdr:spPr>
    </xdr:pic>
    <xdr:clientData/>
  </xdr:twoCellAnchor>
  <xdr:twoCellAnchor editAs="oneCell">
    <xdr:from>
      <xdr:col>10</xdr:col>
      <xdr:colOff>331187</xdr:colOff>
      <xdr:row>228</xdr:row>
      <xdr:rowOff>216040</xdr:rowOff>
    </xdr:from>
    <xdr:to>
      <xdr:col>12</xdr:col>
      <xdr:colOff>373381</xdr:colOff>
      <xdr:row>236</xdr:row>
      <xdr:rowOff>14764</xdr:rowOff>
    </xdr:to>
    <xdr:pic>
      <xdr:nvPicPr>
        <xdr:cNvPr id="145" name="Pictur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971767" y="57266980"/>
          <a:ext cx="1048034" cy="1810404"/>
        </a:xfrm>
        <a:prstGeom prst="rect">
          <a:avLst/>
        </a:prstGeom>
      </xdr:spPr>
    </xdr:pic>
    <xdr:clientData/>
  </xdr:twoCellAnchor>
  <xdr:twoCellAnchor>
    <xdr:from>
      <xdr:col>15</xdr:col>
      <xdr:colOff>37406</xdr:colOff>
      <xdr:row>377</xdr:row>
      <xdr:rowOff>99365</xdr:rowOff>
    </xdr:from>
    <xdr:to>
      <xdr:col>26</xdr:col>
      <xdr:colOff>452658</xdr:colOff>
      <xdr:row>381</xdr:row>
      <xdr:rowOff>205740</xdr:rowOff>
    </xdr:to>
    <xdr:sp macro="" textlink="">
      <xdr:nvSpPr>
        <xdr:cNvPr id="458" name="TextBox 457">
          <a:extLst>
            <a:ext uri="{FF2B5EF4-FFF2-40B4-BE49-F238E27FC236}">
              <a16:creationId xmlns:a16="http://schemas.microsoft.com/office/drawing/2014/main" id="{00000000-0008-0000-0000-0000CA010000}"/>
            </a:ext>
          </a:extLst>
        </xdr:cNvPr>
        <xdr:cNvSpPr txBox="1"/>
      </xdr:nvSpPr>
      <xdr:spPr>
        <a:xfrm>
          <a:off x="6415346" y="91851785"/>
          <a:ext cx="5947372" cy="792175"/>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aseline="0">
              <a:solidFill>
                <a:schemeClr val="dk1"/>
              </a:solidFill>
              <a:latin typeface="Arial Narrow" panose="020B0606020202030204" pitchFamily="34" charset="0"/>
              <a:ea typeface="+mn-ea"/>
              <a:cs typeface="+mn-cs"/>
            </a:rPr>
            <a:t>Love shifts your focus away from your [ISSUE] impacted needs to empathizing with their [ISSUE] impacted needs. Once you encounter each other's specific [ISSUE] affected needs, you draw much closer to resolving them. </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29170</xdr:colOff>
      <xdr:row>371</xdr:row>
      <xdr:rowOff>321039</xdr:rowOff>
    </xdr:from>
    <xdr:to>
      <xdr:col>26</xdr:col>
      <xdr:colOff>439496</xdr:colOff>
      <xdr:row>377</xdr:row>
      <xdr:rowOff>53569</xdr:rowOff>
    </xdr:to>
    <xdr:sp macro="" textlink="">
      <xdr:nvSpPr>
        <xdr:cNvPr id="459" name="TextBox 458">
          <a:extLst>
            <a:ext uri="{FF2B5EF4-FFF2-40B4-BE49-F238E27FC236}">
              <a16:creationId xmlns:a16="http://schemas.microsoft.com/office/drawing/2014/main" id="{00000000-0008-0000-0000-0000CB010000}"/>
            </a:ext>
          </a:extLst>
        </xdr:cNvPr>
        <xdr:cNvSpPr txBox="1"/>
      </xdr:nvSpPr>
      <xdr:spPr>
        <a:xfrm>
          <a:off x="6407110" y="90435159"/>
          <a:ext cx="5942446" cy="137083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050" baseline="0">
            <a:solidFill>
              <a:schemeClr val="dk1"/>
            </a:solidFill>
            <a:latin typeface="Arial Narrow" panose="020B0606020202030204" pitchFamily="34" charset="0"/>
            <a:ea typeface="+mn-ea"/>
            <a:cs typeface="+mn-cs"/>
          </a:endParaRPr>
        </a:p>
        <a:p>
          <a:r>
            <a:rPr lang="en-US" sz="1200" baseline="0">
              <a:solidFill>
                <a:schemeClr val="dk1"/>
              </a:solidFill>
              <a:latin typeface="Franklin Gothic Demi Cond" panose="020B0706030402020204" pitchFamily="34" charset="0"/>
              <a:ea typeface="+mn-ea"/>
              <a:cs typeface="+mn-cs"/>
            </a:rPr>
            <a:t>NEXT </a:t>
          </a:r>
          <a:r>
            <a:rPr lang="en-US" sz="1200" baseline="0">
              <a:solidFill>
                <a:srgbClr val="00823C"/>
              </a:solidFill>
              <a:latin typeface="Franklin Gothic Demi Cond" panose="020B0706030402020204" pitchFamily="34" charset="0"/>
              <a:ea typeface="+mn-ea"/>
              <a:cs typeface="+mn-cs"/>
            </a:rPr>
            <a:t>[IT'S YOUR TURN TO BE THE MORAL LEADER]</a:t>
          </a:r>
        </a:p>
        <a:p>
          <a:r>
            <a:rPr lang="en-US" sz="1100">
              <a:solidFill>
                <a:schemeClr val="dk1"/>
              </a:solidFill>
              <a:effectLst/>
              <a:latin typeface="+mn-lt"/>
              <a:ea typeface="+mn-ea"/>
              <a:cs typeface="+mn-cs"/>
            </a:rPr>
            <a:t>Love shifts your focus away from your needs to empathizing with their needs.</a:t>
          </a:r>
        </a:p>
        <a:p>
          <a:r>
            <a:rPr lang="en-US" sz="1100" baseline="0">
              <a:solidFill>
                <a:schemeClr val="dk1"/>
              </a:solidFill>
              <a:effectLst/>
              <a:latin typeface="+mn-lt"/>
              <a:ea typeface="+mn-ea"/>
              <a:cs typeface="+mn-cs"/>
            </a:rPr>
            <a:t>Shift from pain perpetuating generalizations to need resolving specifics.</a:t>
          </a:r>
        </a:p>
        <a:p>
          <a:r>
            <a:rPr lang="en-US" sz="1100" baseline="0">
              <a:solidFill>
                <a:schemeClr val="dk1"/>
              </a:solidFill>
              <a:effectLst/>
              <a:latin typeface="+mn-lt"/>
              <a:ea typeface="+mn-ea"/>
              <a:cs typeface="+mn-cs"/>
            </a:rPr>
            <a:t>Transition from lower authority of easing pain to the higher authority of resolved needs. While no one sits above the law, no law sits above the needs it exists to serve. There is no greater authority than resolved needs.</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23</xdr:col>
      <xdr:colOff>468163</xdr:colOff>
      <xdr:row>567</xdr:row>
      <xdr:rowOff>66104</xdr:rowOff>
    </xdr:from>
    <xdr:to>
      <xdr:col>26</xdr:col>
      <xdr:colOff>488215</xdr:colOff>
      <xdr:row>567</xdr:row>
      <xdr:rowOff>300185</xdr:rowOff>
    </xdr:to>
    <xdr:sp macro="" textlink="">
      <xdr:nvSpPr>
        <xdr:cNvPr id="462" name="Arrow: Left 461">
          <a:hlinkClick xmlns:r="http://schemas.openxmlformats.org/officeDocument/2006/relationships" r:id="rId2" tooltip="back to Harmony Politics tab"/>
          <a:extLst>
            <a:ext uri="{FF2B5EF4-FFF2-40B4-BE49-F238E27FC236}">
              <a16:creationId xmlns:a16="http://schemas.microsoft.com/office/drawing/2014/main" id="{00000000-0008-0000-0000-0000CE010000}"/>
            </a:ext>
          </a:extLst>
        </xdr:cNvPr>
        <xdr:cNvSpPr/>
      </xdr:nvSpPr>
      <xdr:spPr>
        <a:xfrm>
          <a:off x="10820587" y="119723195"/>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21</xdr:col>
      <xdr:colOff>196889</xdr:colOff>
      <xdr:row>564</xdr:row>
      <xdr:rowOff>86283</xdr:rowOff>
    </xdr:from>
    <xdr:to>
      <xdr:col>22</xdr:col>
      <xdr:colOff>379769</xdr:colOff>
      <xdr:row>565</xdr:row>
      <xdr:rowOff>236143</xdr:rowOff>
    </xdr:to>
    <xdr:sp macro="" textlink="">
      <xdr:nvSpPr>
        <xdr:cNvPr id="466" name="Rectangle: Rounded Corners 465">
          <a:extLst>
            <a:ext uri="{FF2B5EF4-FFF2-40B4-BE49-F238E27FC236}">
              <a16:creationId xmlns:a16="http://schemas.microsoft.com/office/drawing/2014/main" id="{00000000-0008-0000-0000-0000D2010000}"/>
            </a:ext>
          </a:extLst>
        </xdr:cNvPr>
        <xdr:cNvSpPr/>
      </xdr:nvSpPr>
      <xdr:spPr>
        <a:xfrm>
          <a:off x="9592349" y="134785023"/>
          <a:ext cx="685800" cy="401320"/>
        </a:xfrm>
        <a:prstGeom prst="roundRect">
          <a:avLst/>
        </a:prstGeom>
        <a:effectLst>
          <a:outerShdw blurRad="50800" dist="38100" dir="5400000" algn="t" rotWithShape="0">
            <a:prstClr val="black">
              <a:alpha val="40000"/>
            </a:prstClr>
          </a:outerShdw>
        </a:effectLst>
      </xdr:spPr>
      <xdr:style>
        <a:lnRef idx="1">
          <a:schemeClr val="accent4"/>
        </a:lnRef>
        <a:fillRef idx="3">
          <a:schemeClr val="accent4"/>
        </a:fillRef>
        <a:effectRef idx="2">
          <a:schemeClr val="accent4"/>
        </a:effectRef>
        <a:fontRef idx="minor">
          <a:schemeClr val="lt1"/>
        </a:fontRef>
      </xdr:style>
      <xdr:txBody>
        <a:bodyPr vertOverflow="clip" horzOverflow="clip" rtlCol="0" anchor="ctr"/>
        <a:lstStyle/>
        <a:p>
          <a:pPr algn="ctr"/>
          <a:r>
            <a:rPr lang="en-US" sz="2400" b="1">
              <a:latin typeface="Tahoma" panose="020B0604030504040204" pitchFamily="34" charset="0"/>
              <a:ea typeface="Tahoma" panose="020B0604030504040204" pitchFamily="34" charset="0"/>
              <a:cs typeface="Tahoma" panose="020B0604030504040204" pitchFamily="34" charset="0"/>
            </a:rPr>
            <a:t>4</a:t>
          </a:r>
        </a:p>
      </xdr:txBody>
    </xdr:sp>
    <xdr:clientData/>
  </xdr:twoCellAnchor>
  <xdr:oneCellAnchor>
    <xdr:from>
      <xdr:col>25</xdr:col>
      <xdr:colOff>385018</xdr:colOff>
      <xdr:row>682</xdr:row>
      <xdr:rowOff>0</xdr:rowOff>
    </xdr:from>
    <xdr:ext cx="2644445" cy="2108662"/>
    <xdr:pic>
      <xdr:nvPicPr>
        <xdr:cNvPr id="481" name="ballot box, clear" hidden="1">
          <a:extLst>
            <a:ext uri="{FF2B5EF4-FFF2-40B4-BE49-F238E27FC236}">
              <a16:creationId xmlns:a16="http://schemas.microsoft.com/office/drawing/2014/main" id="{00000000-0008-0000-0000-0000E101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738048" y="129932545"/>
          <a:ext cx="2644445" cy="2108662"/>
        </a:xfrm>
        <a:prstGeom prst="rect">
          <a:avLst/>
        </a:prstGeom>
      </xdr:spPr>
    </xdr:pic>
    <xdr:clientData/>
  </xdr:oneCellAnchor>
  <xdr:twoCellAnchor>
    <xdr:from>
      <xdr:col>23</xdr:col>
      <xdr:colOff>468163</xdr:colOff>
      <xdr:row>675</xdr:row>
      <xdr:rowOff>66104</xdr:rowOff>
    </xdr:from>
    <xdr:to>
      <xdr:col>26</xdr:col>
      <xdr:colOff>488215</xdr:colOff>
      <xdr:row>675</xdr:row>
      <xdr:rowOff>300185</xdr:rowOff>
    </xdr:to>
    <xdr:sp macro="" textlink="">
      <xdr:nvSpPr>
        <xdr:cNvPr id="482" name="Arrow: Left 481">
          <a:hlinkClick xmlns:r="http://schemas.openxmlformats.org/officeDocument/2006/relationships" r:id="rId2" tooltip="back to Harmony Politics tab"/>
          <a:extLst>
            <a:ext uri="{FF2B5EF4-FFF2-40B4-BE49-F238E27FC236}">
              <a16:creationId xmlns:a16="http://schemas.microsoft.com/office/drawing/2014/main" id="{00000000-0008-0000-0000-0000E2010000}"/>
            </a:ext>
          </a:extLst>
        </xdr:cNvPr>
        <xdr:cNvSpPr/>
      </xdr:nvSpPr>
      <xdr:spPr>
        <a:xfrm>
          <a:off x="10820587" y="128220649"/>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675</xdr:row>
      <xdr:rowOff>66104</xdr:rowOff>
    </xdr:from>
    <xdr:to>
      <xdr:col>26</xdr:col>
      <xdr:colOff>488215</xdr:colOff>
      <xdr:row>675</xdr:row>
      <xdr:rowOff>300185</xdr:rowOff>
    </xdr:to>
    <xdr:sp macro="" textlink="">
      <xdr:nvSpPr>
        <xdr:cNvPr id="488" name="Arrow: Left 487">
          <a:hlinkClick xmlns:r="http://schemas.openxmlformats.org/officeDocument/2006/relationships" r:id="rId2" tooltip="back to Harmony Politics tab"/>
          <a:extLst>
            <a:ext uri="{FF2B5EF4-FFF2-40B4-BE49-F238E27FC236}">
              <a16:creationId xmlns:a16="http://schemas.microsoft.com/office/drawing/2014/main" id="{00000000-0008-0000-0000-0000E8010000}"/>
            </a:ext>
          </a:extLst>
        </xdr:cNvPr>
        <xdr:cNvSpPr/>
      </xdr:nvSpPr>
      <xdr:spPr>
        <a:xfrm>
          <a:off x="10820587" y="128220649"/>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25</xdr:col>
      <xdr:colOff>385018</xdr:colOff>
      <xdr:row>608</xdr:row>
      <xdr:rowOff>0</xdr:rowOff>
    </xdr:from>
    <xdr:ext cx="2644445" cy="2108662"/>
    <xdr:pic>
      <xdr:nvPicPr>
        <xdr:cNvPr id="495" name="ballot box, clear" hidden="1">
          <a:extLst>
            <a:ext uri="{FF2B5EF4-FFF2-40B4-BE49-F238E27FC236}">
              <a16:creationId xmlns:a16="http://schemas.microsoft.com/office/drawing/2014/main" id="{00000000-0008-0000-0000-0000EF01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738048" y="143232909"/>
          <a:ext cx="2644445" cy="2108662"/>
        </a:xfrm>
        <a:prstGeom prst="rect">
          <a:avLst/>
        </a:prstGeom>
      </xdr:spPr>
    </xdr:pic>
    <xdr:clientData/>
  </xdr:oneCellAnchor>
  <xdr:twoCellAnchor>
    <xdr:from>
      <xdr:col>23</xdr:col>
      <xdr:colOff>468163</xdr:colOff>
      <xdr:row>601</xdr:row>
      <xdr:rowOff>66104</xdr:rowOff>
    </xdr:from>
    <xdr:to>
      <xdr:col>26</xdr:col>
      <xdr:colOff>488215</xdr:colOff>
      <xdr:row>601</xdr:row>
      <xdr:rowOff>300185</xdr:rowOff>
    </xdr:to>
    <xdr:sp macro="" textlink="">
      <xdr:nvSpPr>
        <xdr:cNvPr id="496" name="Arrow: Left 495">
          <a:hlinkClick xmlns:r="http://schemas.openxmlformats.org/officeDocument/2006/relationships" r:id="rId2" tooltip="back to Harmony Politics tab"/>
          <a:extLst>
            <a:ext uri="{FF2B5EF4-FFF2-40B4-BE49-F238E27FC236}">
              <a16:creationId xmlns:a16="http://schemas.microsoft.com/office/drawing/2014/main" id="{00000000-0008-0000-0000-0000F0010000}"/>
            </a:ext>
          </a:extLst>
        </xdr:cNvPr>
        <xdr:cNvSpPr/>
      </xdr:nvSpPr>
      <xdr:spPr>
        <a:xfrm>
          <a:off x="10820587" y="141521013"/>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601</xdr:row>
      <xdr:rowOff>66104</xdr:rowOff>
    </xdr:from>
    <xdr:to>
      <xdr:col>26</xdr:col>
      <xdr:colOff>488215</xdr:colOff>
      <xdr:row>601</xdr:row>
      <xdr:rowOff>300185</xdr:rowOff>
    </xdr:to>
    <xdr:sp macro="" textlink="">
      <xdr:nvSpPr>
        <xdr:cNvPr id="500" name="Arrow: Left 499">
          <a:hlinkClick xmlns:r="http://schemas.openxmlformats.org/officeDocument/2006/relationships" r:id="rId2" tooltip="back to Harmony Politics tab"/>
          <a:extLst>
            <a:ext uri="{FF2B5EF4-FFF2-40B4-BE49-F238E27FC236}">
              <a16:creationId xmlns:a16="http://schemas.microsoft.com/office/drawing/2014/main" id="{00000000-0008-0000-0000-0000F4010000}"/>
            </a:ext>
          </a:extLst>
        </xdr:cNvPr>
        <xdr:cNvSpPr/>
      </xdr:nvSpPr>
      <xdr:spPr>
        <a:xfrm>
          <a:off x="10820587" y="141521013"/>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editAs="oneCell">
    <xdr:from>
      <xdr:col>25</xdr:col>
      <xdr:colOff>385018</xdr:colOff>
      <xdr:row>682</xdr:row>
      <xdr:rowOff>0</xdr:rowOff>
    </xdr:from>
    <xdr:to>
      <xdr:col>33</xdr:col>
      <xdr:colOff>97108</xdr:colOff>
      <xdr:row>690</xdr:row>
      <xdr:rowOff>76200</xdr:rowOff>
    </xdr:to>
    <xdr:pic>
      <xdr:nvPicPr>
        <xdr:cNvPr id="505" name="ballot box, clear" hidden="1">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1792158" y="128511300"/>
          <a:ext cx="2650448" cy="2087880"/>
        </a:xfrm>
        <a:prstGeom prst="rect">
          <a:avLst/>
        </a:prstGeom>
      </xdr:spPr>
    </xdr:pic>
    <xdr:clientData/>
  </xdr:twoCellAnchor>
  <xdr:twoCellAnchor>
    <xdr:from>
      <xdr:col>15</xdr:col>
      <xdr:colOff>7620</xdr:colOff>
      <xdr:row>307</xdr:row>
      <xdr:rowOff>107758</xdr:rowOff>
    </xdr:from>
    <xdr:to>
      <xdr:col>26</xdr:col>
      <xdr:colOff>450736</xdr:colOff>
      <xdr:row>309</xdr:row>
      <xdr:rowOff>137160</xdr:rowOff>
    </xdr:to>
    <xdr:sp macro="" textlink="">
      <xdr:nvSpPr>
        <xdr:cNvPr id="513" name="TextBox 512">
          <a:extLst>
            <a:ext uri="{FF2B5EF4-FFF2-40B4-BE49-F238E27FC236}">
              <a16:creationId xmlns:a16="http://schemas.microsoft.com/office/drawing/2014/main" id="{00000000-0008-0000-0000-000001020000}"/>
            </a:ext>
          </a:extLst>
        </xdr:cNvPr>
        <xdr:cNvSpPr txBox="1"/>
      </xdr:nvSpPr>
      <xdr:spPr>
        <a:xfrm>
          <a:off x="6385560" y="75583858"/>
          <a:ext cx="5975236" cy="532322"/>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Discussing politics without speaking to specific needs sidetracks from why politics exists in the first place.</a:t>
          </a:r>
        </a:p>
      </xdr:txBody>
    </xdr:sp>
    <xdr:clientData/>
  </xdr:twoCellAnchor>
  <xdr:oneCellAnchor>
    <xdr:from>
      <xdr:col>14</xdr:col>
      <xdr:colOff>110067</xdr:colOff>
      <xdr:row>156</xdr:row>
      <xdr:rowOff>8467</xdr:rowOff>
    </xdr:from>
    <xdr:ext cx="6047584" cy="1507029"/>
    <xdr:pic>
      <xdr:nvPicPr>
        <xdr:cNvPr id="538" name="Picture 537" hidden="1">
          <a:extLst>
            <a:ext uri="{FF2B5EF4-FFF2-40B4-BE49-F238E27FC236}">
              <a16:creationId xmlns:a16="http://schemas.microsoft.com/office/drawing/2014/main" id="{00000000-0008-0000-0000-00001A02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44612" y="69781497"/>
          <a:ext cx="6047584" cy="1507029"/>
        </a:xfrm>
        <a:prstGeom prst="rect">
          <a:avLst/>
        </a:prstGeom>
      </xdr:spPr>
    </xdr:pic>
    <xdr:clientData/>
  </xdr:oneCellAnchor>
  <xdr:twoCellAnchor>
    <xdr:from>
      <xdr:col>17</xdr:col>
      <xdr:colOff>415490</xdr:colOff>
      <xdr:row>128</xdr:row>
      <xdr:rowOff>99194</xdr:rowOff>
    </xdr:from>
    <xdr:to>
      <xdr:col>20</xdr:col>
      <xdr:colOff>435542</xdr:colOff>
      <xdr:row>128</xdr:row>
      <xdr:rowOff>295175</xdr:rowOff>
    </xdr:to>
    <xdr:sp macro="" textlink="">
      <xdr:nvSpPr>
        <xdr:cNvPr id="539" name="Arrow: Left 538">
          <a:hlinkClick xmlns:r="http://schemas.openxmlformats.org/officeDocument/2006/relationships" r:id="rId3" tooltip="back to Harmony Politics tab"/>
          <a:extLst>
            <a:ext uri="{FF2B5EF4-FFF2-40B4-BE49-F238E27FC236}">
              <a16:creationId xmlns:a16="http://schemas.microsoft.com/office/drawing/2014/main" id="{00000000-0008-0000-0000-00001B020000}"/>
            </a:ext>
          </a:extLst>
        </xdr:cNvPr>
        <xdr:cNvSpPr/>
      </xdr:nvSpPr>
      <xdr:spPr>
        <a:xfrm>
          <a:off x="7766096" y="62952649"/>
          <a:ext cx="1520961"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128</xdr:row>
      <xdr:rowOff>62369</xdr:rowOff>
    </xdr:from>
    <xdr:to>
      <xdr:col>26</xdr:col>
      <xdr:colOff>488215</xdr:colOff>
      <xdr:row>128</xdr:row>
      <xdr:rowOff>302426</xdr:rowOff>
    </xdr:to>
    <xdr:sp macro="" textlink="">
      <xdr:nvSpPr>
        <xdr:cNvPr id="542" name="Arrow: Left 541">
          <a:hlinkClick xmlns:r="http://schemas.openxmlformats.org/officeDocument/2006/relationships" r:id="rId2" tooltip="back to Harmony Politics tab"/>
          <a:extLst>
            <a:ext uri="{FF2B5EF4-FFF2-40B4-BE49-F238E27FC236}">
              <a16:creationId xmlns:a16="http://schemas.microsoft.com/office/drawing/2014/main" id="{00000000-0008-0000-0000-00001E020000}"/>
            </a:ext>
          </a:extLst>
        </xdr:cNvPr>
        <xdr:cNvSpPr/>
      </xdr:nvSpPr>
      <xdr:spPr>
        <a:xfrm>
          <a:off x="10820587" y="62915824"/>
          <a:ext cx="1520961"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83820</xdr:colOff>
      <xdr:row>138</xdr:row>
      <xdr:rowOff>76200</xdr:rowOff>
    </xdr:from>
    <xdr:to>
      <xdr:col>6</xdr:col>
      <xdr:colOff>499872</xdr:colOff>
      <xdr:row>141</xdr:row>
      <xdr:rowOff>236220</xdr:rowOff>
    </xdr:to>
    <xdr:sp macro="" textlink="">
      <xdr:nvSpPr>
        <xdr:cNvPr id="543" name="Argue W bubble">
          <a:extLst>
            <a:ext uri="{FF2B5EF4-FFF2-40B4-BE49-F238E27FC236}">
              <a16:creationId xmlns:a16="http://schemas.microsoft.com/office/drawing/2014/main" id="{00000000-0008-0000-0000-00001F020000}"/>
            </a:ext>
          </a:extLst>
        </xdr:cNvPr>
        <xdr:cNvSpPr/>
      </xdr:nvSpPr>
      <xdr:spPr>
        <a:xfrm>
          <a:off x="83820" y="65277230"/>
          <a:ext cx="3033022" cy="922020"/>
        </a:xfrm>
        <a:prstGeom prst="wedgeRoundRectCallout">
          <a:avLst>
            <a:gd name="adj1" fmla="val -37843"/>
            <a:gd name="adj2" fmla="val -63031"/>
            <a:gd name="adj3" fmla="val 16667"/>
          </a:avLst>
        </a:prstGeom>
        <a:blipFill>
          <a:blip xmlns:r="http://schemas.openxmlformats.org/officeDocument/2006/relationships" r:embed="rId36">
            <a:alphaModFix amt="10000"/>
          </a:blip>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clientData/>
  </xdr:twoCellAnchor>
  <xdr:twoCellAnchor>
    <xdr:from>
      <xdr:col>7</xdr:col>
      <xdr:colOff>7620</xdr:colOff>
      <xdr:row>138</xdr:row>
      <xdr:rowOff>76200</xdr:rowOff>
    </xdr:from>
    <xdr:to>
      <xdr:col>13</xdr:col>
      <xdr:colOff>35052</xdr:colOff>
      <xdr:row>141</xdr:row>
      <xdr:rowOff>236220</xdr:rowOff>
    </xdr:to>
    <xdr:sp macro="" textlink="">
      <xdr:nvSpPr>
        <xdr:cNvPr id="544" name="Argue D bubble">
          <a:extLst>
            <a:ext uri="{FF2B5EF4-FFF2-40B4-BE49-F238E27FC236}">
              <a16:creationId xmlns:a16="http://schemas.microsoft.com/office/drawing/2014/main" id="{00000000-0008-0000-0000-000020020000}"/>
            </a:ext>
          </a:extLst>
        </xdr:cNvPr>
        <xdr:cNvSpPr/>
      </xdr:nvSpPr>
      <xdr:spPr>
        <a:xfrm>
          <a:off x="3124893" y="65277230"/>
          <a:ext cx="3029250" cy="922020"/>
        </a:xfrm>
        <a:prstGeom prst="wedgeRoundRectCallout">
          <a:avLst>
            <a:gd name="adj1" fmla="val 39219"/>
            <a:gd name="adj2" fmla="val -64095"/>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91363</xdr:colOff>
      <xdr:row>145</xdr:row>
      <xdr:rowOff>68580</xdr:rowOff>
    </xdr:from>
    <xdr:to>
      <xdr:col>7</xdr:col>
      <xdr:colOff>1878</xdr:colOff>
      <xdr:row>148</xdr:row>
      <xdr:rowOff>228600</xdr:rowOff>
    </xdr:to>
    <xdr:sp macro="" textlink="">
      <xdr:nvSpPr>
        <xdr:cNvPr id="545" name="Reject W bubble">
          <a:extLst>
            <a:ext uri="{FF2B5EF4-FFF2-40B4-BE49-F238E27FC236}">
              <a16:creationId xmlns:a16="http://schemas.microsoft.com/office/drawing/2014/main" id="{00000000-0008-0000-0000-000021020000}"/>
            </a:ext>
          </a:extLst>
        </xdr:cNvPr>
        <xdr:cNvSpPr/>
      </xdr:nvSpPr>
      <xdr:spPr>
        <a:xfrm>
          <a:off x="91363" y="37909500"/>
          <a:ext cx="3042335" cy="914400"/>
        </a:xfrm>
        <a:prstGeom prst="wedgeRoundRectCallout">
          <a:avLst>
            <a:gd name="adj1" fmla="val -37843"/>
            <a:gd name="adj2" fmla="val -63031"/>
            <a:gd name="adj3" fmla="val 16667"/>
          </a:avLst>
        </a:prstGeom>
        <a:blipFill>
          <a:blip xmlns:r="http://schemas.openxmlformats.org/officeDocument/2006/relationships" r:embed="rId36">
            <a:alphaModFix amt="10000"/>
          </a:blip>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7620</xdr:colOff>
      <xdr:row>145</xdr:row>
      <xdr:rowOff>68580</xdr:rowOff>
    </xdr:from>
    <xdr:to>
      <xdr:col>13</xdr:col>
      <xdr:colOff>35052</xdr:colOff>
      <xdr:row>148</xdr:row>
      <xdr:rowOff>228600</xdr:rowOff>
    </xdr:to>
    <xdr:sp macro="" textlink="">
      <xdr:nvSpPr>
        <xdr:cNvPr id="546" name="Reject D bubble">
          <a:extLst>
            <a:ext uri="{FF2B5EF4-FFF2-40B4-BE49-F238E27FC236}">
              <a16:creationId xmlns:a16="http://schemas.microsoft.com/office/drawing/2014/main" id="{00000000-0008-0000-0000-000022020000}"/>
            </a:ext>
          </a:extLst>
        </xdr:cNvPr>
        <xdr:cNvSpPr/>
      </xdr:nvSpPr>
      <xdr:spPr>
        <a:xfrm>
          <a:off x="3124893" y="67047610"/>
          <a:ext cx="3029250" cy="922020"/>
        </a:xfrm>
        <a:prstGeom prst="wedgeRoundRectCallout">
          <a:avLst>
            <a:gd name="adj1" fmla="val 39219"/>
            <a:gd name="adj2" fmla="val -64095"/>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91440</xdr:colOff>
      <xdr:row>152</xdr:row>
      <xdr:rowOff>76200</xdr:rowOff>
    </xdr:from>
    <xdr:to>
      <xdr:col>7</xdr:col>
      <xdr:colOff>4572</xdr:colOff>
      <xdr:row>156</xdr:row>
      <xdr:rowOff>213360</xdr:rowOff>
    </xdr:to>
    <xdr:sp macro="" textlink="">
      <xdr:nvSpPr>
        <xdr:cNvPr id="547" name="Demand W bubble">
          <a:extLst>
            <a:ext uri="{FF2B5EF4-FFF2-40B4-BE49-F238E27FC236}">
              <a16:creationId xmlns:a16="http://schemas.microsoft.com/office/drawing/2014/main" id="{00000000-0008-0000-0000-000023020000}"/>
            </a:ext>
          </a:extLst>
        </xdr:cNvPr>
        <xdr:cNvSpPr/>
      </xdr:nvSpPr>
      <xdr:spPr>
        <a:xfrm>
          <a:off x="91440" y="39677340"/>
          <a:ext cx="3044952" cy="1143000"/>
        </a:xfrm>
        <a:prstGeom prst="wedgeRoundRectCallout">
          <a:avLst>
            <a:gd name="adj1" fmla="val -39389"/>
            <a:gd name="adj2" fmla="val -60788"/>
            <a:gd name="adj3" fmla="val 16667"/>
          </a:avLst>
        </a:prstGeom>
        <a:blipFill dpi="0" rotWithShape="1">
          <a:blip xmlns:r="http://schemas.openxmlformats.org/officeDocument/2006/relationships" r:embed="rId36">
            <a:alphaModFix amt="10000"/>
          </a:blip>
          <a:srcRect/>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15240</xdr:colOff>
      <xdr:row>152</xdr:row>
      <xdr:rowOff>76200</xdr:rowOff>
    </xdr:from>
    <xdr:to>
      <xdr:col>13</xdr:col>
      <xdr:colOff>42672</xdr:colOff>
      <xdr:row>156</xdr:row>
      <xdr:rowOff>213360</xdr:rowOff>
    </xdr:to>
    <xdr:sp macro="" textlink="">
      <xdr:nvSpPr>
        <xdr:cNvPr id="548" name="Demand D bubble">
          <a:extLst>
            <a:ext uri="{FF2B5EF4-FFF2-40B4-BE49-F238E27FC236}">
              <a16:creationId xmlns:a16="http://schemas.microsoft.com/office/drawing/2014/main" id="{00000000-0008-0000-0000-000024020000}"/>
            </a:ext>
          </a:extLst>
        </xdr:cNvPr>
        <xdr:cNvSpPr/>
      </xdr:nvSpPr>
      <xdr:spPr>
        <a:xfrm>
          <a:off x="3132513" y="68833230"/>
          <a:ext cx="3029250" cy="1153160"/>
        </a:xfrm>
        <a:prstGeom prst="wedgeRoundRectCallout">
          <a:avLst>
            <a:gd name="adj1" fmla="val 39992"/>
            <a:gd name="adj2" fmla="val -62050"/>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251086</xdr:colOff>
      <xdr:row>173</xdr:row>
      <xdr:rowOff>7913</xdr:rowOff>
    </xdr:from>
    <xdr:to>
      <xdr:col>12</xdr:col>
      <xdr:colOff>234153</xdr:colOff>
      <xdr:row>180</xdr:row>
      <xdr:rowOff>106602</xdr:rowOff>
    </xdr:to>
    <xdr:grpSp>
      <xdr:nvGrpSpPr>
        <xdr:cNvPr id="169" name="Group 168">
          <a:extLst>
            <a:ext uri="{FF2B5EF4-FFF2-40B4-BE49-F238E27FC236}">
              <a16:creationId xmlns:a16="http://schemas.microsoft.com/office/drawing/2014/main" id="{00000000-0008-0000-0000-0000A9000000}"/>
            </a:ext>
          </a:extLst>
        </xdr:cNvPr>
        <xdr:cNvGrpSpPr/>
      </xdr:nvGrpSpPr>
      <xdr:grpSpPr>
        <a:xfrm>
          <a:off x="365386" y="44440133"/>
          <a:ext cx="5515187" cy="1721749"/>
          <a:chOff x="366541" y="44811974"/>
          <a:chExt cx="5486400" cy="1876689"/>
        </a:xfrm>
      </xdr:grpSpPr>
      <xdr:pic>
        <xdr:nvPicPr>
          <xdr:cNvPr id="556" name="your needs - their needs (scales)">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209032" y="44811974"/>
            <a:ext cx="1824182" cy="1854753"/>
          </a:xfrm>
          <a:prstGeom prst="rect">
            <a:avLst/>
          </a:prstGeom>
        </xdr:spPr>
      </xdr:pic>
      <xdr:sp macro="" textlink="">
        <xdr:nvSpPr>
          <xdr:cNvPr id="168" name="Rectangle 167">
            <a:extLst>
              <a:ext uri="{FF2B5EF4-FFF2-40B4-BE49-F238E27FC236}">
                <a16:creationId xmlns:a16="http://schemas.microsoft.com/office/drawing/2014/main" id="{00000000-0008-0000-0000-0000A8000000}"/>
              </a:ext>
            </a:extLst>
          </xdr:cNvPr>
          <xdr:cNvSpPr/>
        </xdr:nvSpPr>
        <xdr:spPr>
          <a:xfrm>
            <a:off x="2086045" y="46120943"/>
            <a:ext cx="2054924" cy="567720"/>
          </a:xfrm>
          <a:prstGeom prst="rect">
            <a:avLst/>
          </a:prstGeom>
          <a:noFill/>
        </xdr:spPr>
        <xdr:txBody>
          <a:bodyPr wrap="square" lIns="0" tIns="45720" rIns="0" bIns="45720">
            <a:spAutoFit/>
          </a:bodyPr>
          <a:lstStyle/>
          <a:p>
            <a:pPr algn="ctr">
              <a:lnSpc>
                <a:spcPts val="1800"/>
              </a:lnSpc>
            </a:pPr>
            <a: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t>visibly </a:t>
            </a:r>
            <a:b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br>
            <a: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t>unequal politics</a:t>
            </a:r>
          </a:p>
        </xdr:txBody>
      </xdr:sp>
      <xdr:sp macro="" textlink="">
        <xdr:nvSpPr>
          <xdr:cNvPr id="562" name="Rectangle 561">
            <a:extLst>
              <a:ext uri="{FF2B5EF4-FFF2-40B4-BE49-F238E27FC236}">
                <a16:creationId xmlns:a16="http://schemas.microsoft.com/office/drawing/2014/main" id="{00000000-0008-0000-0000-000032020000}"/>
              </a:ext>
            </a:extLst>
          </xdr:cNvPr>
          <xdr:cNvSpPr/>
        </xdr:nvSpPr>
        <xdr:spPr>
          <a:xfrm>
            <a:off x="2246142" y="45149586"/>
            <a:ext cx="1723955" cy="485748"/>
          </a:xfrm>
          <a:prstGeom prst="rect">
            <a:avLst/>
          </a:prstGeom>
          <a:noFill/>
        </xdr:spPr>
        <xdr:txBody>
          <a:bodyPr wrap="square" lIns="0" tIns="45720" rIns="0" bIns="45720">
            <a:noAutofit/>
          </a:bodyPr>
          <a:lstStyle/>
          <a:p>
            <a:pPr algn="ctr">
              <a:lnSpc>
                <a:spcPts val="1800"/>
              </a:lnSpc>
            </a:pPr>
            <a:r>
              <a:rPr lang="en-US" sz="1800" b="1" cap="none" spc="0">
                <a:ln w="10160">
                  <a:solidFill>
                    <a:srgbClr val="00823C"/>
                  </a:solidFill>
                  <a:prstDash val="solid"/>
                </a:ln>
                <a:solidFill>
                  <a:schemeClr val="bg1"/>
                </a:solidFill>
                <a:effectLst>
                  <a:glow rad="63500">
                    <a:srgbClr val="00823C"/>
                  </a:glow>
                  <a:outerShdw blurRad="38100" dist="22860" dir="5400000" algn="tl" rotWithShape="0">
                    <a:srgbClr val="000000">
                      <a:alpha val="30000"/>
                    </a:srgbClr>
                  </a:outerShdw>
                </a:effectLst>
                <a:latin typeface="Arial Black" panose="020B0A04020102020204" pitchFamily="34" charset="0"/>
              </a:rPr>
              <a:t>invisibly equal needs</a:t>
            </a:r>
          </a:p>
        </xdr:txBody>
      </xdr:sp>
      <xdr:sp macro="" textlink="">
        <xdr:nvSpPr>
          <xdr:cNvPr id="568" name="Rectangle 567">
            <a:extLst>
              <a:ext uri="{FF2B5EF4-FFF2-40B4-BE49-F238E27FC236}">
                <a16:creationId xmlns:a16="http://schemas.microsoft.com/office/drawing/2014/main" id="{00000000-0008-0000-0000-000038020000}"/>
              </a:ext>
            </a:extLst>
          </xdr:cNvPr>
          <xdr:cNvSpPr/>
        </xdr:nvSpPr>
        <xdr:spPr>
          <a:xfrm>
            <a:off x="366541" y="44911818"/>
            <a:ext cx="5486400" cy="500304"/>
          </a:xfrm>
          <a:prstGeom prst="rect">
            <a:avLst/>
          </a:prstGeom>
          <a:noFill/>
        </xdr:spPr>
        <xdr:txBody>
          <a:bodyPr wrap="square" lIns="0" tIns="45720" rIns="0" bIns="45720">
            <a:prstTxWarp prst="textArchUp">
              <a:avLst/>
            </a:prstTxWarp>
            <a:noAutofit/>
          </a:bodyPr>
          <a:lstStyle/>
          <a:p>
            <a:pPr algn="ctr">
              <a:lnSpc>
                <a:spcPts val="1800"/>
              </a:lnSpc>
            </a:pPr>
            <a:r>
              <a:rPr lang="en-US" sz="1600" b="1" cap="none" spc="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ALL NEEDS SIT EQUAL BEFORE NATURE.</a:t>
            </a:r>
          </a:p>
        </xdr:txBody>
      </xdr:sp>
    </xdr:grpSp>
    <xdr:clientData/>
  </xdr:twoCellAnchor>
  <xdr:twoCellAnchor>
    <xdr:from>
      <xdr:col>5</xdr:col>
      <xdr:colOff>346363</xdr:colOff>
      <xdr:row>188</xdr:row>
      <xdr:rowOff>104446</xdr:rowOff>
    </xdr:from>
    <xdr:to>
      <xdr:col>8</xdr:col>
      <xdr:colOff>146242</xdr:colOff>
      <xdr:row>193</xdr:row>
      <xdr:rowOff>157032</xdr:rowOff>
    </xdr:to>
    <xdr:pic>
      <xdr:nvPicPr>
        <xdr:cNvPr id="572" name="your needs - their needs (scales)">
          <a:extLst>
            <a:ext uri="{FF2B5EF4-FFF2-40B4-BE49-F238E27FC236}">
              <a16:creationId xmlns:a16="http://schemas.microsoft.com/office/drawing/2014/main" id="{00000000-0008-0000-0000-00003C020000}"/>
            </a:ext>
          </a:extLst>
        </xdr:cNvPr>
        <xdr:cNvPicPr>
          <a:picLocks noChangeAspect="1"/>
        </xdr:cNvPicPr>
      </xdr:nvPicPr>
      <xdr:blipFill>
        <a:blip xmlns:r="http://schemas.openxmlformats.org/officeDocument/2006/relationships" r:embed="rId39" cstate="print">
          <a:extLst>
            <a:ext uri="{BEBA8EAE-BF5A-486C-A8C5-ECC9F3942E4B}">
              <a14:imgProps xmlns:a14="http://schemas.microsoft.com/office/drawing/2010/main">
                <a14:imgLayer r:embed="rId40">
                  <a14:imgEffect>
                    <a14:artisticBlur/>
                  </a14:imgEffect>
                </a14:imgLayer>
              </a14:imgProps>
            </a:ext>
            <a:ext uri="{28A0092B-C50C-407E-A947-70E740481C1C}">
              <a14:useLocalDpi xmlns:a14="http://schemas.microsoft.com/office/drawing/2010/main" val="0"/>
            </a:ext>
          </a:extLst>
        </a:blip>
        <a:stretch>
          <a:fillRect/>
        </a:stretch>
      </xdr:blipFill>
      <xdr:spPr>
        <a:xfrm>
          <a:off x="2463030" y="48333658"/>
          <a:ext cx="1300788" cy="1322586"/>
        </a:xfrm>
        <a:prstGeom prst="rect">
          <a:avLst/>
        </a:prstGeom>
      </xdr:spPr>
    </xdr:pic>
    <xdr:clientData/>
  </xdr:twoCellAnchor>
  <xdr:twoCellAnchor>
    <xdr:from>
      <xdr:col>1</xdr:col>
      <xdr:colOff>76430</xdr:colOff>
      <xdr:row>211</xdr:row>
      <xdr:rowOff>39409</xdr:rowOff>
    </xdr:from>
    <xdr:to>
      <xdr:col>12</xdr:col>
      <xdr:colOff>425257</xdr:colOff>
      <xdr:row>219</xdr:row>
      <xdr:rowOff>167640</xdr:rowOff>
    </xdr:to>
    <xdr:sp macro="" textlink="">
      <xdr:nvSpPr>
        <xdr:cNvPr id="170" name="Rectangle 169">
          <a:extLst>
            <a:ext uri="{FF2B5EF4-FFF2-40B4-BE49-F238E27FC236}">
              <a16:creationId xmlns:a16="http://schemas.microsoft.com/office/drawing/2014/main" id="{00000000-0008-0000-0000-0000AA000000}"/>
            </a:ext>
          </a:extLst>
        </xdr:cNvPr>
        <xdr:cNvSpPr/>
      </xdr:nvSpPr>
      <xdr:spPr>
        <a:xfrm>
          <a:off x="190730" y="52990789"/>
          <a:ext cx="5880947" cy="2139911"/>
        </a:xfrm>
        <a:prstGeom prst="rect">
          <a:avLst/>
        </a:prstGeom>
        <a:blipFill dpi="0" rotWithShape="1">
          <a:blip xmlns:r="http://schemas.openxmlformats.org/officeDocument/2006/relationships" r:embed="rId41">
            <a:alphaModFix amt="47000"/>
          </a:blip>
          <a:srcRect/>
          <a:stretch>
            <a:fillRect/>
          </a:stretch>
        </a:bli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192424</xdr:colOff>
      <xdr:row>192</xdr:row>
      <xdr:rowOff>130847</xdr:rowOff>
    </xdr:from>
    <xdr:to>
      <xdr:col>9</xdr:col>
      <xdr:colOff>323272</xdr:colOff>
      <xdr:row>197</xdr:row>
      <xdr:rowOff>100059</xdr:rowOff>
    </xdr:to>
    <xdr:sp macro="" textlink="">
      <xdr:nvSpPr>
        <xdr:cNvPr id="570" name="Rectangle 569">
          <a:extLst>
            <a:ext uri="{FF2B5EF4-FFF2-40B4-BE49-F238E27FC236}">
              <a16:creationId xmlns:a16="http://schemas.microsoft.com/office/drawing/2014/main" id="{00000000-0008-0000-0000-00003A020000}"/>
            </a:ext>
          </a:extLst>
        </xdr:cNvPr>
        <xdr:cNvSpPr/>
      </xdr:nvSpPr>
      <xdr:spPr>
        <a:xfrm>
          <a:off x="1808788" y="49376059"/>
          <a:ext cx="2632363" cy="1046788"/>
        </a:xfrm>
        <a:prstGeom prst="rect">
          <a:avLst/>
        </a:prstGeom>
        <a:noFill/>
      </xdr:spPr>
      <xdr:txBody>
        <a:bodyPr wrap="square" lIns="0" tIns="45720" rIns="0" bIns="45720">
          <a:prstTxWarp prst="textArchUp">
            <a:avLst/>
          </a:prstTxWarp>
          <a:noAutofit/>
        </a:bodyPr>
        <a:lstStyle/>
        <a:p>
          <a:pPr algn="ctr">
            <a:lnSpc>
              <a:spcPts val="1800"/>
            </a:lnSpc>
          </a:pPr>
          <a:r>
            <a:rPr lang="en-US" sz="1600" b="1" cap="none" spc="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WE CANNOT</a:t>
          </a: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 SOLVE </a:t>
          </a:r>
        </a:p>
        <a:p>
          <a:pPr algn="ctr">
            <a:lnSpc>
              <a:spcPts val="1800"/>
            </a:lnSpc>
          </a:pP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OUR SPECIFIC PROBLEMS </a:t>
          </a:r>
        </a:p>
        <a:p>
          <a:pPr algn="ctr">
            <a:lnSpc>
              <a:spcPts val="1800"/>
            </a:lnSpc>
          </a:pPr>
          <a:r>
            <a:rPr lang="en-US" sz="1600" b="1" cap="none" spc="0" baseline="0">
              <a:ln w="10160">
                <a:solidFill>
                  <a:schemeClr val="bg1"/>
                </a:solidFill>
                <a:prstDash val="solid"/>
              </a:ln>
              <a:solidFill>
                <a:srgbClr val="780091"/>
              </a:solidFill>
              <a:effectLst>
                <a:outerShdw blurRad="38100" dist="22860" dir="5400000" algn="tl" rotWithShape="0">
                  <a:srgbClr val="000000">
                    <a:alpha val="30000"/>
                  </a:srgbClr>
                </a:outerShdw>
              </a:effectLst>
              <a:latin typeface="Arial Black" panose="020B0A04020102020204" pitchFamily="34" charset="0"/>
            </a:rPr>
            <a:t>FROM THE LEVEL </a:t>
          </a:r>
        </a:p>
        <a:p>
          <a:pPr algn="ctr">
            <a:lnSpc>
              <a:spcPts val="1800"/>
            </a:lnSpc>
          </a:pPr>
          <a:r>
            <a:rPr lang="en-US" sz="1600" b="1" cap="none" spc="0" baseline="0">
              <a:ln w="10160">
                <a:solidFill>
                  <a:schemeClr val="bg1"/>
                </a:solidFill>
                <a:prstDash val="solid"/>
              </a:ln>
              <a:solidFill>
                <a:srgbClr val="780091"/>
              </a:solidFill>
              <a:effectLst>
                <a:outerShdw blurRad="38100" dist="22860" dir="5400000" algn="tl" rotWithShape="0">
                  <a:srgbClr val="000000">
                    <a:alpha val="30000"/>
                  </a:srgbClr>
                </a:outerShdw>
              </a:effectLst>
              <a:latin typeface="Arial Black" panose="020B0A04020102020204" pitchFamily="34" charset="0"/>
            </a:rPr>
            <a:t>OF GENERALIZING</a:t>
          </a: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 </a:t>
          </a:r>
        </a:p>
        <a:p>
          <a:pPr algn="ctr">
            <a:lnSpc>
              <a:spcPts val="1800"/>
            </a:lnSpc>
          </a:pPr>
          <a:r>
            <a:rPr lang="en-US" sz="1600" b="1" cap="none" spc="0" baseline="0">
              <a:ln w="10160">
                <a:solidFill>
                  <a:srgbClr val="C8FFDC"/>
                </a:solidFill>
                <a:prstDash val="solid"/>
              </a:ln>
              <a:solidFill>
                <a:srgbClr val="C00000"/>
              </a:solidFill>
              <a:effectLst>
                <a:outerShdw blurRad="38100" dist="22860" dir="5400000" algn="tl" rotWithShape="0">
                  <a:srgbClr val="000000">
                    <a:alpha val="30000"/>
                  </a:srgbClr>
                </a:outerShdw>
              </a:effectLst>
              <a:latin typeface="Arial Black" panose="020B0A04020102020204" pitchFamily="34" charset="0"/>
            </a:rPr>
            <a:t>THAT CREATED THEM.</a:t>
          </a:r>
          <a:endParaRPr lang="en-US" sz="1600" b="1" cap="none" spc="0">
            <a:ln w="10160">
              <a:solidFill>
                <a:srgbClr val="C8FFDC"/>
              </a:solidFill>
              <a:prstDash val="solid"/>
            </a:ln>
            <a:solidFill>
              <a:srgbClr val="C00000"/>
            </a:solidFill>
            <a:effectLst>
              <a:outerShdw blurRad="38100" dist="22860" dir="5400000" algn="tl" rotWithShape="0">
                <a:srgbClr val="000000">
                  <a:alpha val="30000"/>
                </a:srgbClr>
              </a:outerShdw>
            </a:effectLst>
            <a:latin typeface="Arial Black" panose="020B0A04020102020204" pitchFamily="34" charset="0"/>
          </a:endParaRPr>
        </a:p>
      </xdr:txBody>
    </xdr:sp>
    <xdr:clientData/>
  </xdr:twoCellAnchor>
  <xdr:oneCellAnchor>
    <xdr:from>
      <xdr:col>14</xdr:col>
      <xdr:colOff>110067</xdr:colOff>
      <xdr:row>260</xdr:row>
      <xdr:rowOff>8467</xdr:rowOff>
    </xdr:from>
    <xdr:ext cx="6047584" cy="1507029"/>
    <xdr:pic>
      <xdr:nvPicPr>
        <xdr:cNvPr id="581" name="Picture 580" hidden="1">
          <a:extLst>
            <a:ext uri="{FF2B5EF4-FFF2-40B4-BE49-F238E27FC236}">
              <a16:creationId xmlns:a16="http://schemas.microsoft.com/office/drawing/2014/main" id="{00000000-0008-0000-0000-00004502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44612" y="56357982"/>
          <a:ext cx="6047584" cy="1507029"/>
        </a:xfrm>
        <a:prstGeom prst="rect">
          <a:avLst/>
        </a:prstGeom>
      </xdr:spPr>
    </xdr:pic>
    <xdr:clientData/>
  </xdr:oneCellAnchor>
  <xdr:twoCellAnchor>
    <xdr:from>
      <xdr:col>19</xdr:col>
      <xdr:colOff>331670</xdr:colOff>
      <xdr:row>238</xdr:row>
      <xdr:rowOff>91574</xdr:rowOff>
    </xdr:from>
    <xdr:to>
      <xdr:col>22</xdr:col>
      <xdr:colOff>351722</xdr:colOff>
      <xdr:row>238</xdr:row>
      <xdr:rowOff>287555</xdr:rowOff>
    </xdr:to>
    <xdr:sp macro="" textlink="">
      <xdr:nvSpPr>
        <xdr:cNvPr id="582" name="Arrow: Left 581">
          <a:hlinkClick xmlns:r="http://schemas.openxmlformats.org/officeDocument/2006/relationships" r:id="rId3" tooltip="back to Harmony Politics tab"/>
          <a:extLst>
            <a:ext uri="{FF2B5EF4-FFF2-40B4-BE49-F238E27FC236}">
              <a16:creationId xmlns:a16="http://schemas.microsoft.com/office/drawing/2014/main" id="{00000000-0008-0000-0000-000046020000}"/>
            </a:ext>
          </a:extLst>
        </xdr:cNvPr>
        <xdr:cNvSpPr/>
      </xdr:nvSpPr>
      <xdr:spPr>
        <a:xfrm>
          <a:off x="8682882" y="51430362"/>
          <a:ext cx="1520961"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251</xdr:row>
      <xdr:rowOff>5348</xdr:rowOff>
    </xdr:from>
    <xdr:to>
      <xdr:col>27</xdr:col>
      <xdr:colOff>118976</xdr:colOff>
      <xdr:row>251</xdr:row>
      <xdr:rowOff>105611</xdr:rowOff>
    </xdr:to>
    <xdr:sp macro="" textlink="">
      <xdr:nvSpPr>
        <xdr:cNvPr id="583" name="Right Triangle 582">
          <a:extLst>
            <a:ext uri="{FF2B5EF4-FFF2-40B4-BE49-F238E27FC236}">
              <a16:creationId xmlns:a16="http://schemas.microsoft.com/office/drawing/2014/main" id="{00000000-0008-0000-0000-000047020000}"/>
            </a:ext>
          </a:extLst>
        </xdr:cNvPr>
        <xdr:cNvSpPr/>
      </xdr:nvSpPr>
      <xdr:spPr>
        <a:xfrm flipH="1" flipV="1">
          <a:off x="12399085" y="54261287"/>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238</xdr:row>
      <xdr:rowOff>62369</xdr:rowOff>
    </xdr:from>
    <xdr:to>
      <xdr:col>26</xdr:col>
      <xdr:colOff>488215</xdr:colOff>
      <xdr:row>238</xdr:row>
      <xdr:rowOff>302426</xdr:rowOff>
    </xdr:to>
    <xdr:sp macro="" textlink="">
      <xdr:nvSpPr>
        <xdr:cNvPr id="585" name="Arrow: Left 584">
          <a:hlinkClick xmlns:r="http://schemas.openxmlformats.org/officeDocument/2006/relationships" r:id="rId2" tooltip="back to Harmony Politics tab"/>
          <a:extLst>
            <a:ext uri="{FF2B5EF4-FFF2-40B4-BE49-F238E27FC236}">
              <a16:creationId xmlns:a16="http://schemas.microsoft.com/office/drawing/2014/main" id="{00000000-0008-0000-0000-000049020000}"/>
            </a:ext>
          </a:extLst>
        </xdr:cNvPr>
        <xdr:cNvSpPr/>
      </xdr:nvSpPr>
      <xdr:spPr>
        <a:xfrm>
          <a:off x="10820587" y="51401157"/>
          <a:ext cx="1520961"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14</xdr:col>
      <xdr:colOff>38100</xdr:colOff>
      <xdr:row>239</xdr:row>
      <xdr:rowOff>91440</xdr:rowOff>
    </xdr:from>
    <xdr:to>
      <xdr:col>26</xdr:col>
      <xdr:colOff>335280</xdr:colOff>
      <xdr:row>254</xdr:row>
      <xdr:rowOff>0</xdr:rowOff>
    </xdr:to>
    <xdr:sp macro="" textlink="">
      <xdr:nvSpPr>
        <xdr:cNvPr id="586" name="TextBox 585">
          <a:extLst>
            <a:ext uri="{FF2B5EF4-FFF2-40B4-BE49-F238E27FC236}">
              <a16:creationId xmlns:a16="http://schemas.microsoft.com/office/drawing/2014/main" id="{00000000-0008-0000-0000-00004A020000}"/>
            </a:ext>
          </a:extLst>
        </xdr:cNvPr>
        <xdr:cNvSpPr txBox="1"/>
      </xdr:nvSpPr>
      <xdr:spPr>
        <a:xfrm>
          <a:off x="6301740" y="59512200"/>
          <a:ext cx="5943600" cy="31699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050">
            <a:effectLst/>
            <a:latin typeface="Arial Narrow" panose="020B0606020202030204" pitchFamily="34" charset="0"/>
          </a:endParaRPr>
        </a:p>
        <a:p>
          <a:r>
            <a:rPr lang="en-US" sz="1100" b="1" baseline="0">
              <a:solidFill>
                <a:schemeClr val="dk1"/>
              </a:solidFill>
              <a:effectLst/>
              <a:latin typeface="Arial Narrow" panose="020B0606020202030204" pitchFamily="34" charset="0"/>
              <a:ea typeface="+mn-ea"/>
              <a:cs typeface="+mn-cs"/>
            </a:rPr>
            <a:t>4. Imaging the worse of each other</a:t>
          </a:r>
        </a:p>
        <a:p>
          <a:r>
            <a:rPr lang="en-US" sz="1050" spc="-10" baseline="0">
              <a:solidFill>
                <a:schemeClr val="dk1"/>
              </a:solidFill>
              <a:effectLst/>
              <a:latin typeface="Arial Narrow" panose="020B0606020202030204" pitchFamily="34" charset="0"/>
              <a:ea typeface="+mn-ea"/>
              <a:cs typeface="+mn-cs"/>
            </a:rPr>
            <a:t>Catastrophizing often sinks in. What do you fear most if the other side gets their way? [WORSE1] and even [WORSE2]? </a:t>
          </a:r>
          <a:r>
            <a:rPr lang="en-US" sz="1050" baseline="0">
              <a:solidFill>
                <a:schemeClr val="dk1"/>
              </a:solidFill>
              <a:effectLst/>
              <a:latin typeface="Arial Narrow" panose="020B0606020202030204" pitchFamily="34" charset="0"/>
              <a:ea typeface="+mn-ea"/>
              <a:cs typeface="+mn-cs"/>
            </a:rPr>
            <a:t>Do they fear your side will result in "[WORSE 1]" and perhaps "[WORSE2]". Do you continue to trust divisive [ISSUE] politics as a solution to the problem? Or can you see such divisive politics as the problem?</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a:t>
          </a:r>
        </a:p>
        <a:p>
          <a:endParaRPr lang="en-US" sz="1050" baseline="0">
            <a:solidFill>
              <a:schemeClr val="dk1"/>
            </a:solidFill>
            <a:effectLst/>
            <a:latin typeface="Arial Narrow" panose="020B0606020202030204" pitchFamily="34" charset="0"/>
            <a:ea typeface="+mn-ea"/>
            <a:cs typeface="+mn-cs"/>
          </a:endParaRPr>
        </a:p>
        <a:p>
          <a:r>
            <a:rPr lang="en-US" sz="1050" baseline="0">
              <a:solidFill>
                <a:schemeClr val="dk1"/>
              </a:solidFill>
              <a:effectLst/>
              <a:latin typeface="Arial Narrow" panose="020B0606020202030204" pitchFamily="34" charset="0"/>
              <a:ea typeface="+mn-ea"/>
              <a:cs typeface="+mn-cs"/>
            </a:rPr>
            <a:t>"Conservatives are all bad! They [W WORSE1] and [W WORSE2]!"</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"Conservatives are all bad! They oppress us to death!"</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effectLst/>
              <a:latin typeface="Arial Narrow" panose="020B0606020202030204" pitchFamily="34" charset="0"/>
              <a:ea typeface="+mn-ea"/>
              <a:cs typeface="+mn-cs"/>
            </a:rPr>
            <a:t>"Liberals are all bad! They [D WORSE1] and [D WORSE2]!"</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"Liberals are all bad! They want to tax us to death!"</a:t>
          </a:r>
        </a:p>
        <a:p>
          <a:endParaRPr lang="en-US" sz="1050" baseline="0">
            <a:solidFill>
              <a:schemeClr val="dk1"/>
            </a:solidFill>
            <a:effectLst/>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mn-lt"/>
              <a:ea typeface="+mn-ea"/>
              <a:cs typeface="+mn-cs"/>
            </a:rPr>
            <a:t>5. A call for moral leadership</a:t>
          </a:r>
          <a:endParaRPr lang="en-US" sz="1050">
            <a:effectLst/>
          </a:endParaRPr>
        </a:p>
        <a:p>
          <a:pPr eaLnBrk="1" fontAlgn="auto" latinLnBrk="0" hangingPunct="1"/>
          <a:r>
            <a:rPr lang="en-US" sz="1050" baseline="0">
              <a:solidFill>
                <a:schemeClr val="dk1"/>
              </a:solidFill>
              <a:effectLst/>
              <a:latin typeface="Arial Narrow" panose="020B0606020202030204" pitchFamily="34" charset="0"/>
              <a:ea typeface="+mn-ea"/>
              <a:cs typeface="+mn-cs"/>
            </a:rPr>
            <a:t>All this name-calling and catastrophizing betrays a lack of moral political leadership. Political change with moral leadership, as exemplifed by Dr. King and others, connects to the needs on both sides of any politicized issue. Moral leadership never pits us against each other for what we inflexibly need.</a:t>
          </a:r>
        </a:p>
        <a:p>
          <a:endParaRPr lang="en-US" sz="1050" baseline="0">
            <a:solidFill>
              <a:schemeClr val="dk1"/>
            </a:solidFill>
            <a:effectLst/>
            <a:latin typeface="Arial Narrow" panose="020B0606020202030204" pitchFamily="34" charset="0"/>
            <a:ea typeface="+mn-ea"/>
            <a:cs typeface="+mn-cs"/>
          </a:endParaRPr>
        </a:p>
        <a:p>
          <a:endParaRPr lang="en-US" sz="1050" baseline="0">
            <a:solidFill>
              <a:schemeClr val="dk1"/>
            </a:solidFill>
            <a:effectLst/>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0</xdr:col>
      <xdr:colOff>105910</xdr:colOff>
      <xdr:row>297</xdr:row>
      <xdr:rowOff>205740</xdr:rowOff>
    </xdr:from>
    <xdr:to>
      <xdr:col>12</xdr:col>
      <xdr:colOff>497378</xdr:colOff>
      <xdr:row>309</xdr:row>
      <xdr:rowOff>112667</xdr:rowOff>
    </xdr:to>
    <xdr:grpSp>
      <xdr:nvGrpSpPr>
        <xdr:cNvPr id="197" name="Group 196">
          <a:extLst>
            <a:ext uri="{FF2B5EF4-FFF2-40B4-BE49-F238E27FC236}">
              <a16:creationId xmlns:a16="http://schemas.microsoft.com/office/drawing/2014/main" id="{00000000-0008-0000-0000-0000C5000000}"/>
            </a:ext>
          </a:extLst>
        </xdr:cNvPr>
        <xdr:cNvGrpSpPr/>
      </xdr:nvGrpSpPr>
      <xdr:grpSpPr>
        <a:xfrm>
          <a:off x="105910" y="73014840"/>
          <a:ext cx="6037888" cy="2855867"/>
          <a:chOff x="105910" y="73517760"/>
          <a:chExt cx="6037888" cy="2855867"/>
        </a:xfrm>
      </xdr:grpSpPr>
      <xdr:pic>
        <xdr:nvPicPr>
          <xdr:cNvPr id="196" name="political hate">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2583180" y="73517760"/>
            <a:ext cx="1097280" cy="1097280"/>
          </a:xfrm>
          <a:prstGeom prst="rect">
            <a:avLst/>
          </a:prstGeom>
        </xdr:spPr>
      </xdr:pic>
      <xdr:grpSp>
        <xdr:nvGrpSpPr>
          <xdr:cNvPr id="590" name="Group 589">
            <a:extLst>
              <a:ext uri="{FF2B5EF4-FFF2-40B4-BE49-F238E27FC236}">
                <a16:creationId xmlns:a16="http://schemas.microsoft.com/office/drawing/2014/main" id="{00000000-0008-0000-0000-00004E020000}"/>
              </a:ext>
            </a:extLst>
          </xdr:cNvPr>
          <xdr:cNvGrpSpPr/>
        </xdr:nvGrpSpPr>
        <xdr:grpSpPr>
          <a:xfrm>
            <a:off x="105910" y="73639007"/>
            <a:ext cx="6037888" cy="2734620"/>
            <a:chOff x="6303817" y="64962423"/>
            <a:chExt cx="6008064" cy="2760639"/>
          </a:xfrm>
        </xdr:grpSpPr>
        <xdr:grpSp>
          <xdr:nvGrpSpPr>
            <xdr:cNvPr id="591" name="Group 590">
              <a:extLst>
                <a:ext uri="{FF2B5EF4-FFF2-40B4-BE49-F238E27FC236}">
                  <a16:creationId xmlns:a16="http://schemas.microsoft.com/office/drawing/2014/main" id="{00000000-0008-0000-0000-00004F020000}"/>
                </a:ext>
              </a:extLst>
            </xdr:cNvPr>
            <xdr:cNvGrpSpPr/>
          </xdr:nvGrpSpPr>
          <xdr:grpSpPr>
            <a:xfrm>
              <a:off x="8228639" y="65009272"/>
              <a:ext cx="2147673" cy="2356088"/>
              <a:chOff x="8236336" y="65124726"/>
              <a:chExt cx="2147673" cy="2356088"/>
            </a:xfrm>
          </xdr:grpSpPr>
          <xdr:pic>
            <xdr:nvPicPr>
              <xdr:cNvPr id="595" name="LOVE">
                <a:extLst>
                  <a:ext uri="{FF2B5EF4-FFF2-40B4-BE49-F238E27FC236}">
                    <a16:creationId xmlns:a16="http://schemas.microsoft.com/office/drawing/2014/main" id="{00000000-0008-0000-0000-000053020000}"/>
                  </a:ext>
                </a:extLst>
              </xdr:cNvPr>
              <xdr:cNvPicPr>
                <a:picLocks noChangeAspect="1"/>
              </xdr:cNvPicPr>
            </xdr:nvPicPr>
            <xdr:blipFill>
              <a:blip xmlns:r="http://schemas.openxmlformats.org/officeDocument/2006/relationships" r:embed="rId43" cstate="print">
                <a:extLst>
                  <a:ext uri="{BEBA8EAE-BF5A-486C-A8C5-ECC9F3942E4B}">
                    <a14:imgProps xmlns:a14="http://schemas.microsoft.com/office/drawing/2010/main">
                      <a14:imgLayer r:embed="rId44">
                        <a14:imgEffect>
                          <a14:artisticBlur/>
                        </a14:imgEffect>
                      </a14:imgLayer>
                    </a14:imgProps>
                  </a:ext>
                  <a:ext uri="{28A0092B-C50C-407E-A947-70E740481C1C}">
                    <a14:useLocalDpi xmlns:a14="http://schemas.microsoft.com/office/drawing/2010/main" val="0"/>
                  </a:ext>
                </a:extLst>
              </a:blip>
              <a:stretch>
                <a:fillRect/>
              </a:stretch>
            </xdr:blipFill>
            <xdr:spPr>
              <a:xfrm>
                <a:off x="8306241" y="66362555"/>
                <a:ext cx="2024690" cy="1118259"/>
              </a:xfrm>
              <a:prstGeom prst="rect">
                <a:avLst/>
              </a:prstGeom>
            </xdr:spPr>
          </xdr:pic>
          <xdr:sp macro="" textlink="">
            <xdr:nvSpPr>
              <xdr:cNvPr id="596" name="Rectangle 595">
                <a:extLst>
                  <a:ext uri="{FF2B5EF4-FFF2-40B4-BE49-F238E27FC236}">
                    <a16:creationId xmlns:a16="http://schemas.microsoft.com/office/drawing/2014/main" id="{00000000-0008-0000-0000-000054020000}"/>
                  </a:ext>
                </a:extLst>
              </xdr:cNvPr>
              <xdr:cNvSpPr/>
            </xdr:nvSpPr>
            <xdr:spPr>
              <a:xfrm>
                <a:off x="8236336" y="66486301"/>
                <a:ext cx="2147673" cy="792297"/>
              </a:xfrm>
              <a:prstGeom prst="rect">
                <a:avLst/>
              </a:prstGeom>
              <a:noFill/>
            </xdr:spPr>
            <xdr:txBody>
              <a:bodyPr wrap="square" lIns="91440" tIns="45720" rIns="91440" bIns="45720">
                <a:spAutoFit/>
              </a:bodyPr>
              <a:lstStyle/>
              <a:p>
                <a:pPr algn="ctr">
                  <a:lnSpc>
                    <a:spcPts val="1800"/>
                  </a:lnSpc>
                </a:pPr>
                <a:r>
                  <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LOVE=WHEN THEIR NEEDS MATTER AS MUCH IF NOT MORE</a:t>
                </a:r>
                <a:r>
                  <a:rPr lang="en-US" sz="1600" b="1" cap="none" spc="-20" baseline="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THAN YOUR OWN</a:t>
                </a:r>
                <a:endPar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endParaRPr>
              </a:p>
            </xdr:txBody>
          </xdr:sp>
          <xdr:sp macro="" textlink="">
            <xdr:nvSpPr>
              <xdr:cNvPr id="629" name="Rectangle 628">
                <a:extLst>
                  <a:ext uri="{FF2B5EF4-FFF2-40B4-BE49-F238E27FC236}">
                    <a16:creationId xmlns:a16="http://schemas.microsoft.com/office/drawing/2014/main" id="{00000000-0008-0000-0000-000075020000}"/>
                  </a:ext>
                </a:extLst>
              </xdr:cNvPr>
              <xdr:cNvSpPr/>
            </xdr:nvSpPr>
            <xdr:spPr>
              <a:xfrm>
                <a:off x="8350071" y="65124726"/>
                <a:ext cx="1935367" cy="792297"/>
              </a:xfrm>
              <a:prstGeom prst="rect">
                <a:avLst/>
              </a:prstGeom>
              <a:noFill/>
            </xdr:spPr>
            <xdr:txBody>
              <a:bodyPr wrap="square" lIns="91440" tIns="45720" rIns="91440" bIns="45720">
                <a:spAutoFit/>
              </a:bodyPr>
              <a:lstStyle/>
              <a:p>
                <a:pPr algn="ctr">
                  <a:lnSpc>
                    <a:spcPts val="1800"/>
                  </a:lnSpc>
                </a:pPr>
                <a:r>
                  <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HATE=WHEN YOU VIEW THEM AS</a:t>
                </a:r>
                <a:r>
                  <a:rPr lang="en-US" sz="1600" b="1" cap="none" spc="-20" baseline="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A THREAT TO YOUR PAINFUL NEEDS</a:t>
                </a:r>
                <a:endPar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endParaRPr>
              </a:p>
            </xdr:txBody>
          </xdr:sp>
        </xdr:grpSp>
        <xdr:sp macro="" textlink="">
          <xdr:nvSpPr>
            <xdr:cNvPr id="592" name="Speech Bubble: Rectangle 591">
              <a:extLst>
                <a:ext uri="{FF2B5EF4-FFF2-40B4-BE49-F238E27FC236}">
                  <a16:creationId xmlns:a16="http://schemas.microsoft.com/office/drawing/2014/main" id="{00000000-0008-0000-0000-000050020000}"/>
                </a:ext>
              </a:extLst>
            </xdr:cNvPr>
            <xdr:cNvSpPr/>
          </xdr:nvSpPr>
          <xdr:spPr>
            <a:xfrm>
              <a:off x="6303818" y="64962423"/>
              <a:ext cx="2001742" cy="1015410"/>
            </a:xfrm>
            <a:prstGeom prst="wedgeRectCallout">
              <a:avLst>
                <a:gd name="adj1" fmla="val -1052"/>
                <a:gd name="adj2" fmla="val 70903"/>
              </a:avLst>
            </a:prstGeom>
            <a:gradFill>
              <a:gsLst>
                <a:gs pos="0">
                  <a:schemeClr val="accent5">
                    <a:lumMod val="40000"/>
                    <a:lumOff val="60000"/>
                    <a:alpha val="50000"/>
                  </a:schemeClr>
                </a:gs>
                <a:gs pos="50000">
                  <a:schemeClr val="accent5">
                    <a:lumMod val="20000"/>
                    <a:lumOff val="80000"/>
                    <a:alpha val="25000"/>
                  </a:schemeClr>
                </a:gs>
              </a:gsLst>
              <a:lin ang="16200000" scaled="1"/>
            </a:gradFill>
            <a:ln w="38100">
              <a:solidFill>
                <a:schemeClr val="accent4">
                  <a:lumMod val="40000"/>
                  <a:lumOff val="60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93" name="Speech Bubble: Rectangle 592">
              <a:extLst>
                <a:ext uri="{FF2B5EF4-FFF2-40B4-BE49-F238E27FC236}">
                  <a16:creationId xmlns:a16="http://schemas.microsoft.com/office/drawing/2014/main" id="{00000000-0008-0000-0000-000051020000}"/>
                </a:ext>
              </a:extLst>
            </xdr:cNvPr>
            <xdr:cNvSpPr/>
          </xdr:nvSpPr>
          <xdr:spPr>
            <a:xfrm>
              <a:off x="10310138" y="64962423"/>
              <a:ext cx="2001743" cy="1015410"/>
            </a:xfrm>
            <a:prstGeom prst="wedgeRectCallout">
              <a:avLst>
                <a:gd name="adj1" fmla="val 631"/>
                <a:gd name="adj2" fmla="val 71744"/>
              </a:avLst>
            </a:prstGeom>
            <a:gradFill>
              <a:gsLst>
                <a:gs pos="0">
                  <a:srgbClr val="FF9999">
                    <a:alpha val="50000"/>
                  </a:srgbClr>
                </a:gs>
                <a:gs pos="50000">
                  <a:srgbClr val="FFCCCC">
                    <a:alpha val="25000"/>
                  </a:srgbClr>
                </a:gs>
              </a:gsLst>
              <a:lin ang="16200000" scaled="1"/>
            </a:gradFill>
            <a:ln w="38100">
              <a:solidFill>
                <a:schemeClr val="accent4">
                  <a:lumMod val="40000"/>
                  <a:lumOff val="60000"/>
                </a:schemeClr>
              </a:solid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594" name="Picture 593">
              <a:extLst>
                <a:ext uri="{FF2B5EF4-FFF2-40B4-BE49-F238E27FC236}">
                  <a16:creationId xmlns:a16="http://schemas.microsoft.com/office/drawing/2014/main" id="{00000000-0008-0000-0000-00005202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383180" y="65737606"/>
              <a:ext cx="5914238" cy="654652"/>
            </a:xfrm>
            <a:prstGeom prst="rect">
              <a:avLst/>
            </a:prstGeom>
          </xdr:spPr>
        </xdr:pic>
        <xdr:sp macro="" textlink="">
          <xdr:nvSpPr>
            <xdr:cNvPr id="616" name="Speech Bubble: Rectangle 615">
              <a:extLst>
                <a:ext uri="{FF2B5EF4-FFF2-40B4-BE49-F238E27FC236}">
                  <a16:creationId xmlns:a16="http://schemas.microsoft.com/office/drawing/2014/main" id="{00000000-0008-0000-0000-000068020000}"/>
                </a:ext>
              </a:extLst>
            </xdr:cNvPr>
            <xdr:cNvSpPr/>
          </xdr:nvSpPr>
          <xdr:spPr>
            <a:xfrm flipV="1">
              <a:off x="6303817" y="66285536"/>
              <a:ext cx="2001743" cy="1015410"/>
            </a:xfrm>
            <a:prstGeom prst="wedgeRectCallout">
              <a:avLst>
                <a:gd name="adj1" fmla="val 2357"/>
                <a:gd name="adj2" fmla="val 67115"/>
              </a:avLst>
            </a:prstGeom>
            <a:gradFill>
              <a:gsLst>
                <a:gs pos="50000">
                  <a:schemeClr val="accent5">
                    <a:lumMod val="20000"/>
                    <a:lumOff val="80000"/>
                    <a:alpha val="25000"/>
                  </a:schemeClr>
                </a:gs>
                <a:gs pos="100000">
                  <a:schemeClr val="accent5">
                    <a:lumMod val="40000"/>
                    <a:lumOff val="60000"/>
                    <a:alpha val="50000"/>
                  </a:schemeClr>
                </a:gs>
              </a:gsLst>
              <a:lin ang="16200000" scaled="1"/>
            </a:gradFill>
            <a:ln w="38100">
              <a:solidFill>
                <a:srgbClr val="00D25A"/>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25" name="Speech Bubble: Rectangle 624">
              <a:extLst>
                <a:ext uri="{FF2B5EF4-FFF2-40B4-BE49-F238E27FC236}">
                  <a16:creationId xmlns:a16="http://schemas.microsoft.com/office/drawing/2014/main" id="{00000000-0008-0000-0000-000071020000}"/>
                </a:ext>
              </a:extLst>
            </xdr:cNvPr>
            <xdr:cNvSpPr/>
          </xdr:nvSpPr>
          <xdr:spPr>
            <a:xfrm flipV="1">
              <a:off x="10310138" y="66285536"/>
              <a:ext cx="2001743" cy="1015410"/>
            </a:xfrm>
            <a:prstGeom prst="wedgeRectCallout">
              <a:avLst>
                <a:gd name="adj1" fmla="val -1263"/>
                <a:gd name="adj2" fmla="val 67956"/>
              </a:avLst>
            </a:prstGeom>
            <a:gradFill>
              <a:gsLst>
                <a:gs pos="50000">
                  <a:srgbClr val="FFCCCC">
                    <a:alpha val="25000"/>
                  </a:srgbClr>
                </a:gs>
                <a:gs pos="100000">
                  <a:srgbClr val="FF9999">
                    <a:alpha val="50000"/>
                  </a:srgbClr>
                </a:gs>
              </a:gsLst>
              <a:lin ang="16200000" scaled="1"/>
            </a:gradFill>
            <a:ln w="38100">
              <a:solidFill>
                <a:srgbClr val="00D25A"/>
              </a:solid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626" name="Picture 625">
              <a:extLst>
                <a:ext uri="{FF2B5EF4-FFF2-40B4-BE49-F238E27FC236}">
                  <a16:creationId xmlns:a16="http://schemas.microsoft.com/office/drawing/2014/main" id="{00000000-0008-0000-0000-000072020000}"/>
                </a:ext>
              </a:extLst>
            </xdr:cNvPr>
            <xdr:cNvPicPr>
              <a:picLocks noChangeAspect="1"/>
            </xdr:cNvPicPr>
          </xdr:nvPicPr>
          <xdr:blipFill>
            <a:blip xmlns:r="http://schemas.openxmlformats.org/officeDocument/2006/relationships" r:embed="rId45">
              <a:duotone>
                <a:prstClr val="black"/>
                <a:schemeClr val="accent6">
                  <a:tint val="45000"/>
                  <a:satMod val="400000"/>
                </a:schemeClr>
              </a:duotone>
              <a:extLst>
                <a:ext uri="{28A0092B-C50C-407E-A947-70E740481C1C}">
                  <a14:useLocalDpi xmlns:a14="http://schemas.microsoft.com/office/drawing/2010/main" val="0"/>
                </a:ext>
              </a:extLst>
            </a:blip>
            <a:stretch>
              <a:fillRect/>
            </a:stretch>
          </xdr:blipFill>
          <xdr:spPr>
            <a:xfrm>
              <a:off x="6390762" y="67068410"/>
              <a:ext cx="5914238" cy="654652"/>
            </a:xfrm>
            <a:prstGeom prst="rect">
              <a:avLst/>
            </a:prstGeom>
          </xdr:spPr>
        </xdr:pic>
      </xdr:grpSp>
    </xdr:grpSp>
    <xdr:clientData/>
  </xdr:twoCellAnchor>
  <xdr:twoCellAnchor>
    <xdr:from>
      <xdr:col>0</xdr:col>
      <xdr:colOff>76199</xdr:colOff>
      <xdr:row>323</xdr:row>
      <xdr:rowOff>28127</xdr:rowOff>
    </xdr:from>
    <xdr:to>
      <xdr:col>13</xdr:col>
      <xdr:colOff>48572</xdr:colOff>
      <xdr:row>330</xdr:row>
      <xdr:rowOff>19021</xdr:rowOff>
    </xdr:to>
    <xdr:grpSp>
      <xdr:nvGrpSpPr>
        <xdr:cNvPr id="194" name="Group 193">
          <a:extLst>
            <a:ext uri="{FF2B5EF4-FFF2-40B4-BE49-F238E27FC236}">
              <a16:creationId xmlns:a16="http://schemas.microsoft.com/office/drawing/2014/main" id="{00000000-0008-0000-0000-0000C2000000}"/>
            </a:ext>
          </a:extLst>
        </xdr:cNvPr>
        <xdr:cNvGrpSpPr/>
      </xdr:nvGrpSpPr>
      <xdr:grpSpPr>
        <a:xfrm>
          <a:off x="76199" y="78986567"/>
          <a:ext cx="6121713" cy="1446314"/>
          <a:chOff x="91439" y="78849360"/>
          <a:chExt cx="6121713" cy="1232453"/>
        </a:xfrm>
      </xdr:grpSpPr>
      <xdr:pic>
        <xdr:nvPicPr>
          <xdr:cNvPr id="191" name="Picture 190">
            <a:extLst>
              <a:ext uri="{FF2B5EF4-FFF2-40B4-BE49-F238E27FC236}">
                <a16:creationId xmlns:a16="http://schemas.microsoft.com/office/drawing/2014/main" id="{00000000-0008-0000-0000-0000BF000000}"/>
              </a:ext>
            </a:extLst>
          </xdr:cNvPr>
          <xdr:cNvPicPr>
            <a:picLocks/>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078480" y="78859380"/>
            <a:ext cx="1143000" cy="898216"/>
          </a:xfrm>
          <a:prstGeom prst="rect">
            <a:avLst/>
          </a:prstGeom>
        </xdr:spPr>
      </xdr:pic>
      <xdr:pic>
        <xdr:nvPicPr>
          <xdr:cNvPr id="193" name="Picture 192">
            <a:extLst>
              <a:ext uri="{FF2B5EF4-FFF2-40B4-BE49-F238E27FC236}">
                <a16:creationId xmlns:a16="http://schemas.microsoft.com/office/drawing/2014/main" id="{00000000-0008-0000-0000-0000C1000000}"/>
              </a:ext>
            </a:extLst>
          </xdr:cNvPr>
          <xdr:cNvPicPr>
            <a:picLocks/>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070240" y="78849360"/>
            <a:ext cx="1143000" cy="898216"/>
          </a:xfrm>
          <a:prstGeom prst="rect">
            <a:avLst/>
          </a:prstGeom>
        </xdr:spPr>
      </xdr:pic>
      <xdr:grpSp>
        <xdr:nvGrpSpPr>
          <xdr:cNvPr id="601" name="Group 600">
            <a:extLst>
              <a:ext uri="{FF2B5EF4-FFF2-40B4-BE49-F238E27FC236}">
                <a16:creationId xmlns:a16="http://schemas.microsoft.com/office/drawing/2014/main" id="{00000000-0008-0000-0000-000059020000}"/>
              </a:ext>
            </a:extLst>
          </xdr:cNvPr>
          <xdr:cNvGrpSpPr/>
        </xdr:nvGrpSpPr>
        <xdr:grpSpPr>
          <a:xfrm>
            <a:off x="91439" y="78867236"/>
            <a:ext cx="6121713" cy="1214577"/>
            <a:chOff x="6303817" y="64962424"/>
            <a:chExt cx="6091469" cy="1227745"/>
          </a:xfrm>
        </xdr:grpSpPr>
        <xdr:sp macro="" textlink="">
          <xdr:nvSpPr>
            <xdr:cNvPr id="607" name="Rectangle 606">
              <a:extLst>
                <a:ext uri="{FF2B5EF4-FFF2-40B4-BE49-F238E27FC236}">
                  <a16:creationId xmlns:a16="http://schemas.microsoft.com/office/drawing/2014/main" id="{00000000-0008-0000-0000-00005F020000}"/>
                </a:ext>
              </a:extLst>
            </xdr:cNvPr>
            <xdr:cNvSpPr/>
          </xdr:nvSpPr>
          <xdr:spPr>
            <a:xfrm>
              <a:off x="8323764" y="65033059"/>
              <a:ext cx="2051778" cy="874864"/>
            </a:xfrm>
            <a:prstGeom prst="rect">
              <a:avLst/>
            </a:prstGeom>
            <a:noFill/>
          </xdr:spPr>
          <xdr:txBody>
            <a:bodyPr wrap="square" lIns="91440" tIns="45720" rIns="91440" bIns="45720">
              <a:spAutoFit/>
            </a:bodyPr>
            <a:lstStyle/>
            <a:p>
              <a:pPr algn="ctr">
                <a:lnSpc>
                  <a:spcPts val="1800"/>
                </a:lnSpc>
              </a:pPr>
              <a:r>
                <a:rPr lang="en-US" sz="1800" b="1" cap="none" spc="-5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LOVE=WHEN THEIR </a:t>
              </a:r>
              <a:r>
                <a:rPr lang="en-US" sz="1800" b="1" cap="none" spc="-2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NEEDS MATTER AS </a:t>
              </a:r>
              <a:r>
                <a:rPr lang="en-US" sz="1800" b="1" cap="none" spc="-8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MUCH IF NOT MORE</a:t>
              </a:r>
              <a:r>
                <a:rPr lang="en-US" sz="1800" b="1" cap="none" spc="-8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a:t>
              </a:r>
              <a:r>
                <a:rPr lang="en-US" sz="1800" b="1" cap="none" spc="2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THAN YOUR OWN</a:t>
              </a:r>
            </a:p>
          </xdr:txBody>
        </xdr:sp>
        <xdr:sp macro="" textlink="">
          <xdr:nvSpPr>
            <xdr:cNvPr id="603" name="Speech Bubble: Rectangle 602">
              <a:extLst>
                <a:ext uri="{FF2B5EF4-FFF2-40B4-BE49-F238E27FC236}">
                  <a16:creationId xmlns:a16="http://schemas.microsoft.com/office/drawing/2014/main" id="{00000000-0008-0000-0000-00005B020000}"/>
                </a:ext>
              </a:extLst>
            </xdr:cNvPr>
            <xdr:cNvSpPr/>
          </xdr:nvSpPr>
          <xdr:spPr>
            <a:xfrm>
              <a:off x="6303817" y="64962424"/>
              <a:ext cx="2092730" cy="945171"/>
            </a:xfrm>
            <a:prstGeom prst="wedgeRectCallout">
              <a:avLst>
                <a:gd name="adj1" fmla="val -1052"/>
                <a:gd name="adj2" fmla="val 70903"/>
              </a:avLst>
            </a:prstGeom>
            <a:gradFill>
              <a:gsLst>
                <a:gs pos="0">
                  <a:schemeClr val="accent5">
                    <a:lumMod val="40000"/>
                    <a:lumOff val="60000"/>
                    <a:alpha val="50000"/>
                  </a:schemeClr>
                </a:gs>
                <a:gs pos="50000">
                  <a:schemeClr val="accent5">
                    <a:lumMod val="20000"/>
                    <a:lumOff val="80000"/>
                    <a:alpha val="25000"/>
                  </a:schemeClr>
                </a:gs>
                <a:gs pos="100000">
                  <a:schemeClr val="accent5">
                    <a:lumMod val="40000"/>
                    <a:lumOff val="60000"/>
                    <a:alpha val="50000"/>
                  </a:schemeClr>
                </a:gs>
              </a:gsLst>
              <a:lin ang="16200000" scaled="1"/>
            </a:gra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04" name="Speech Bubble: Rectangle 603">
              <a:extLst>
                <a:ext uri="{FF2B5EF4-FFF2-40B4-BE49-F238E27FC236}">
                  <a16:creationId xmlns:a16="http://schemas.microsoft.com/office/drawing/2014/main" id="{00000000-0008-0000-0000-00005C020000}"/>
                </a:ext>
              </a:extLst>
            </xdr:cNvPr>
            <xdr:cNvSpPr/>
          </xdr:nvSpPr>
          <xdr:spPr>
            <a:xfrm>
              <a:off x="10302556" y="64962424"/>
              <a:ext cx="2092730" cy="945171"/>
            </a:xfrm>
            <a:prstGeom prst="wedgeRectCallout">
              <a:avLst>
                <a:gd name="adj1" fmla="val 631"/>
                <a:gd name="adj2" fmla="val 71744"/>
              </a:avLst>
            </a:prstGeom>
            <a:gradFill>
              <a:gsLst>
                <a:gs pos="0">
                  <a:srgbClr val="FF9999">
                    <a:alpha val="50000"/>
                  </a:srgbClr>
                </a:gs>
                <a:gs pos="50000">
                  <a:srgbClr val="FFCCCC">
                    <a:alpha val="25000"/>
                  </a:srgbClr>
                </a:gs>
                <a:gs pos="100000">
                  <a:srgbClr val="FF9999">
                    <a:alpha val="50000"/>
                  </a:srgbClr>
                </a:gs>
              </a:gsLst>
              <a:lin ang="16200000" scaled="1"/>
            </a:gradFill>
            <a:ln>
              <a:no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605" name="Picture 604">
              <a:extLst>
                <a:ext uri="{FF2B5EF4-FFF2-40B4-BE49-F238E27FC236}">
                  <a16:creationId xmlns:a16="http://schemas.microsoft.com/office/drawing/2014/main" id="{00000000-0008-0000-0000-00005D02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390762" y="65803242"/>
              <a:ext cx="5914238" cy="386927"/>
            </a:xfrm>
            <a:prstGeom prst="rect">
              <a:avLst/>
            </a:prstGeom>
          </xdr:spPr>
        </xdr:pic>
      </xdr:grpSp>
    </xdr:grpSp>
    <xdr:clientData/>
  </xdr:twoCellAnchor>
  <xdr:twoCellAnchor editAs="oneCell">
    <xdr:from>
      <xdr:col>4</xdr:col>
      <xdr:colOff>0</xdr:colOff>
      <xdr:row>249</xdr:row>
      <xdr:rowOff>60959</xdr:rowOff>
    </xdr:from>
    <xdr:to>
      <xdr:col>10</xdr:col>
      <xdr:colOff>0</xdr:colOff>
      <xdr:row>255</xdr:row>
      <xdr:rowOff>437540</xdr:rowOff>
    </xdr:to>
    <xdr:pic>
      <xdr:nvPicPr>
        <xdr:cNvPr id="174" name="Picture 173">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623060" y="61912499"/>
          <a:ext cx="3017520" cy="1694841"/>
        </a:xfrm>
        <a:prstGeom prst="rect">
          <a:avLst/>
        </a:prstGeom>
      </xdr:spPr>
    </xdr:pic>
    <xdr:clientData/>
  </xdr:twoCellAnchor>
  <xdr:twoCellAnchor>
    <xdr:from>
      <xdr:col>15</xdr:col>
      <xdr:colOff>9929</xdr:colOff>
      <xdr:row>276</xdr:row>
      <xdr:rowOff>152554</xdr:rowOff>
    </xdr:from>
    <xdr:to>
      <xdr:col>26</xdr:col>
      <xdr:colOff>424103</xdr:colOff>
      <xdr:row>295</xdr:row>
      <xdr:rowOff>243840</xdr:rowOff>
    </xdr:to>
    <xdr:sp macro="" textlink="">
      <xdr:nvSpPr>
        <xdr:cNvPr id="615" name="TextBox 614">
          <a:extLst>
            <a:ext uri="{FF2B5EF4-FFF2-40B4-BE49-F238E27FC236}">
              <a16:creationId xmlns:a16="http://schemas.microsoft.com/office/drawing/2014/main" id="{00000000-0008-0000-0000-000067020000}"/>
            </a:ext>
          </a:extLst>
        </xdr:cNvPr>
        <xdr:cNvSpPr txBox="1"/>
      </xdr:nvSpPr>
      <xdr:spPr>
        <a:xfrm>
          <a:off x="6387869" y="68244874"/>
          <a:ext cx="5946294" cy="4305146"/>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MUTUAL RESPECT </a:t>
          </a:r>
          <a:r>
            <a:rPr lang="en-US" sz="1200" baseline="0">
              <a:solidFill>
                <a:srgbClr val="00823C"/>
              </a:solidFill>
              <a:latin typeface="Franklin Gothic Demi Cond" panose="020B0706030402020204" pitchFamily="34" charset="0"/>
              <a:ea typeface="+mn-ea"/>
              <a:cs typeface="+mn-cs"/>
            </a:rPr>
            <a:t>[A CALL FOR MORAL LEADERSHIP]</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6. Your opportunity to affirm diverse needs</a:t>
          </a:r>
        </a:p>
        <a:p>
          <a:pPr eaLnBrk="1" fontAlgn="auto" latinLnBrk="0" hangingPunct="1"/>
          <a:r>
            <a:rPr lang="en-US" sz="1050" baseline="0">
              <a:solidFill>
                <a:schemeClr val="dk1"/>
              </a:solidFill>
              <a:latin typeface="Arial Narrow" panose="020B0606020202030204" pitchFamily="34" charset="0"/>
              <a:ea typeface="+mn-ea"/>
              <a:cs typeface="+mn-cs"/>
            </a:rPr>
            <a:t>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something.</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1" baseline="0">
            <a:solidFill>
              <a:schemeClr val="dk1"/>
            </a:solidFill>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latin typeface="Arial Narrow" panose="020B0606020202030204" pitchFamily="34" charset="0"/>
              <a:ea typeface="+mn-ea"/>
              <a:cs typeface="+mn-cs"/>
            </a:rPr>
            <a:t>7. Your opportunity to relate more specifically</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latin typeface="Arial Narrow" panose="020B0606020202030204" pitchFamily="34" charset="0"/>
              <a:ea typeface="+mn-ea"/>
              <a:cs typeface="+mn-cs"/>
            </a:rPr>
            <a:t>Moral leadership inspires you to switch from claiming we must [OVERGEN] to respecting the needs of [DEGEN]. As you back away from defensive generalizing, you challenge the other side to switch from claiming we must all [OVERGEN] to respecting the needs of [DEGEN]. Or they risk losing moral ground to you.</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a:t>
          </a:r>
        </a:p>
        <a:p>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050" b="1" baseline="0">
              <a:solidFill>
                <a:schemeClr val="dk1"/>
              </a:solidFill>
              <a:latin typeface="Arial Narrow" panose="020B0606020202030204" pitchFamily="34" charset="0"/>
              <a:ea typeface="+mn-ea"/>
              <a:cs typeface="+mn-cs"/>
            </a:rPr>
            <a:t>WIDE</a:t>
          </a:r>
        </a:p>
        <a:p>
          <a:pPr eaLnBrk="1" fontAlgn="auto" latinLnBrk="0" hangingPunct="1"/>
          <a:r>
            <a:rPr lang="en-US" sz="1050" baseline="0">
              <a:solidFill>
                <a:schemeClr val="dk1"/>
              </a:solidFill>
              <a:latin typeface="Arial Narrow" panose="020B0606020202030204" pitchFamily="34" charset="0"/>
              <a:ea typeface="+mn-ea"/>
              <a:cs typeface="+mn-cs"/>
            </a:rPr>
            <a:t>They [W WORSE] and insist we [D OVEREGEN]. </a:t>
          </a:r>
        </a:p>
        <a:p>
          <a:pPr eaLnBrk="1" fontAlgn="auto" latinLnBrk="0" hangingPunct="1"/>
          <a:r>
            <a:rPr lang="en-US" sz="1050" baseline="0">
              <a:solidFill>
                <a:schemeClr val="dk1"/>
              </a:solidFill>
              <a:latin typeface="Arial Narrow" panose="020B0606020202030204" pitchFamily="34" charset="0"/>
              <a:ea typeface="+mn-ea"/>
              <a:cs typeface="+mn-cs"/>
            </a:rPr>
            <a:t>I want to better understand [W DEGEN] and the need [D FELT NEED].</a:t>
          </a:r>
        </a:p>
        <a:p>
          <a:pPr eaLnBrk="1" fontAlgn="auto" latinLnBrk="0" hangingPunct="1"/>
          <a:r>
            <a:rPr lang="en-US" sz="1050" baseline="0">
              <a:solidFill>
                <a:srgbClr val="780091"/>
              </a:solidFill>
              <a:latin typeface="Arial Narrow" panose="020B0606020202030204" pitchFamily="34" charset="0"/>
              <a:ea typeface="+mn-ea"/>
              <a:cs typeface="+mn-cs"/>
            </a:rPr>
            <a:t>They take away our rights and insist we serve big business. </a:t>
          </a:r>
        </a:p>
        <a:p>
          <a:pPr eaLnBrk="1" fontAlgn="auto" latinLnBrk="0" hangingPunct="1"/>
          <a:r>
            <a:rPr lang="en-US" sz="1050" baseline="0">
              <a:solidFill>
                <a:srgbClr val="780091"/>
              </a:solidFill>
              <a:latin typeface="Arial Narrow" panose="020B0606020202030204" pitchFamily="34" charset="0"/>
              <a:ea typeface="+mn-ea"/>
              <a:cs typeface="+mn-cs"/>
            </a:rPr>
            <a:t>I want to better understand the needs of conservatives and Trumpists.</a:t>
          </a:r>
        </a:p>
        <a:p>
          <a:pPr eaLnBrk="1" fontAlgn="auto" latinLnBrk="0" hangingPunct="1"/>
          <a:r>
            <a:rPr lang="en-US" sz="1050" b="1" baseline="0">
              <a:solidFill>
                <a:schemeClr val="dk1"/>
              </a:solidFill>
              <a:latin typeface="Arial Narrow" panose="020B0606020202030204" pitchFamily="34" charset="0"/>
              <a:ea typeface="+mn-ea"/>
              <a:cs typeface="+mn-cs"/>
            </a:rPr>
            <a:t>DEEP</a:t>
          </a:r>
        </a:p>
        <a:p>
          <a:pPr eaLnBrk="1" fontAlgn="auto" latinLnBrk="0" hangingPunct="1"/>
          <a:r>
            <a:rPr lang="en-US" sz="1050" baseline="0">
              <a:solidFill>
                <a:schemeClr val="dk1"/>
              </a:solidFill>
              <a:latin typeface="Arial Narrow" panose="020B0606020202030204" pitchFamily="34" charset="0"/>
              <a:ea typeface="+mn-ea"/>
              <a:cs typeface="+mn-cs"/>
            </a:rPr>
            <a:t>They [D WORSE] and insist we [W OVEREGEN]. </a:t>
          </a:r>
        </a:p>
        <a:p>
          <a:pPr eaLnBrk="1" fontAlgn="auto" latinLnBrk="0" hangingPunct="1"/>
          <a:r>
            <a:rPr lang="en-US" sz="1050" baseline="0">
              <a:solidFill>
                <a:schemeClr val="dk1"/>
              </a:solidFill>
              <a:latin typeface="Arial Narrow" panose="020B0606020202030204" pitchFamily="34" charset="0"/>
              <a:ea typeface="+mn-ea"/>
              <a:cs typeface="+mn-cs"/>
            </a:rPr>
            <a:t>I want to better understand [D DEGEN] and the need [W FELT NEED].</a:t>
          </a:r>
        </a:p>
        <a:p>
          <a:pPr marL="0" indent="0" eaLnBrk="1" fontAlgn="auto" latinLnBrk="0" hangingPunct="1"/>
          <a:r>
            <a:rPr lang="en-US" sz="1050" baseline="0">
              <a:solidFill>
                <a:srgbClr val="780091"/>
              </a:solidFill>
              <a:latin typeface="Arial Narrow" panose="020B0606020202030204" pitchFamily="34" charset="0"/>
              <a:ea typeface="+mn-ea"/>
              <a:cs typeface="+mn-cs"/>
            </a:rPr>
            <a:t>They take away our liberty and insist we serve big government. </a:t>
          </a:r>
        </a:p>
        <a:p>
          <a:pPr marL="0" indent="0" eaLnBrk="1" fontAlgn="auto" latinLnBrk="0" hangingPunct="1"/>
          <a:r>
            <a:rPr lang="en-US" sz="1050" baseline="0">
              <a:solidFill>
                <a:srgbClr val="780091"/>
              </a:solidFill>
              <a:latin typeface="Arial Narrow" panose="020B0606020202030204" pitchFamily="34" charset="0"/>
              <a:ea typeface="+mn-ea"/>
              <a:cs typeface="+mn-cs"/>
            </a:rPr>
            <a:t>I want to better understand the needs of liberals and progressives.</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6311</xdr:colOff>
      <xdr:row>315</xdr:row>
      <xdr:rowOff>21860</xdr:rowOff>
    </xdr:from>
    <xdr:to>
      <xdr:col>26</xdr:col>
      <xdr:colOff>422794</xdr:colOff>
      <xdr:row>345</xdr:row>
      <xdr:rowOff>243840</xdr:rowOff>
    </xdr:to>
    <xdr:sp macro="" textlink="">
      <xdr:nvSpPr>
        <xdr:cNvPr id="630" name="TextBox 629">
          <a:extLst>
            <a:ext uri="{FF2B5EF4-FFF2-40B4-BE49-F238E27FC236}">
              <a16:creationId xmlns:a16="http://schemas.microsoft.com/office/drawing/2014/main" id="{00000000-0008-0000-0000-000076020000}"/>
            </a:ext>
          </a:extLst>
        </xdr:cNvPr>
        <xdr:cNvSpPr txBox="1"/>
      </xdr:nvSpPr>
      <xdr:spPr>
        <a:xfrm>
          <a:off x="6384251" y="76968620"/>
          <a:ext cx="5948603" cy="73009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MUTUAL RESPECT </a:t>
          </a:r>
          <a:r>
            <a:rPr lang="en-US" sz="1200" baseline="0">
              <a:solidFill>
                <a:srgbClr val="00823C"/>
              </a:solidFill>
              <a:latin typeface="Franklin Gothic Demi Cond" panose="020B0706030402020204" pitchFamily="34" charset="0"/>
              <a:ea typeface="+mn-ea"/>
              <a:cs typeface="+mn-cs"/>
            </a:rPr>
            <a:t>[A CALL FOR MORAL LEADERSHIP]</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latin typeface="Arial Narrow" panose="020B0606020202030204" pitchFamily="34" charset="0"/>
              <a:ea typeface="+mn-ea"/>
              <a:cs typeface="+mn-cs"/>
            </a:rPr>
            <a:t>8. Your opportunity to spread more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latin typeface="Arial Narrow" panose="020B0606020202030204" pitchFamily="34" charset="0"/>
              <a:ea typeface="+mn-ea"/>
              <a:cs typeface="+mn-cs"/>
            </a:rPr>
            <a:t>Your need [FELT NEED] can complement their need [FELT NEED]. Together, you both move beyond alienating exaggerations to connect with each other's specific [ISSUE] impacted needs. You replace arguing with listening. You replace rejecting each other's needs with affirming each other's [ISSUE] impacted needs. You replace demanding with offering what you can do for their needs, while suggesting what they can do for yours. All with empathy and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CC00CC"/>
            </a:solidFill>
            <a:latin typeface="Arial Narrow" panose="020B0606020202030204" pitchFamily="34" charset="0"/>
            <a:ea typeface="+mn-ea"/>
            <a:cs typeface="+mn-cs"/>
          </a:endParaRPr>
        </a:p>
        <a:p>
          <a:pPr eaLnBrk="1" fontAlgn="auto" latinLnBrk="0" hangingPunct="1"/>
          <a:r>
            <a:rPr lang="en-US" sz="1050" b="1" baseline="0">
              <a:solidFill>
                <a:schemeClr val="dk1"/>
              </a:solidFill>
              <a:latin typeface="Arial Narrow" panose="020B0606020202030204" pitchFamily="34" charset="0"/>
              <a:ea typeface="+mn-ea"/>
              <a:cs typeface="+mn-cs"/>
            </a:rPr>
            <a:t>WIDE</a:t>
          </a:r>
        </a:p>
        <a:p>
          <a:pPr eaLnBrk="1" fontAlgn="auto" latinLnBrk="0" hangingPunct="1"/>
          <a:r>
            <a:rPr lang="en-US" sz="1050" baseline="0">
              <a:solidFill>
                <a:schemeClr val="dk1"/>
              </a:solidFill>
              <a:latin typeface="Arial Narrow" panose="020B0606020202030204" pitchFamily="34" charset="0"/>
              <a:ea typeface="+mn-ea"/>
              <a:cs typeface="+mn-cs"/>
            </a:rPr>
            <a:t>The more I support [D NEED], the more I trust you to support [W NEED]. </a:t>
          </a:r>
        </a:p>
        <a:p>
          <a:pPr eaLnBrk="1" fontAlgn="auto" latinLnBrk="0" hangingPunct="1"/>
          <a:r>
            <a:rPr lang="en-US" sz="1050" baseline="0">
              <a:solidFill>
                <a:srgbClr val="780091"/>
              </a:solidFill>
              <a:latin typeface="Arial Narrow" panose="020B0606020202030204" pitchFamily="34" charset="0"/>
              <a:ea typeface="+mn-ea"/>
              <a:cs typeface="+mn-cs"/>
            </a:rPr>
            <a:t>The more I support your needs, the more I trust you to support my needs.</a:t>
          </a:r>
        </a:p>
        <a:p>
          <a:pPr eaLnBrk="1" fontAlgn="auto" latinLnBrk="0" hangingPunct="1"/>
          <a:r>
            <a:rPr lang="en-US" sz="1050" b="1" baseline="0">
              <a:solidFill>
                <a:schemeClr val="dk1"/>
              </a:solidFill>
              <a:latin typeface="Arial Narrow" panose="020B0606020202030204" pitchFamily="34" charset="0"/>
              <a:ea typeface="+mn-ea"/>
              <a:cs typeface="+mn-cs"/>
            </a:rPr>
            <a:t>DEEP</a:t>
          </a:r>
        </a:p>
        <a:p>
          <a:pPr eaLnBrk="1" fontAlgn="auto" latinLnBrk="0" hangingPunct="1"/>
          <a:r>
            <a:rPr lang="en-US" sz="1050" baseline="0">
              <a:solidFill>
                <a:schemeClr val="dk1"/>
              </a:solidFill>
              <a:latin typeface="Arial Narrow" panose="020B0606020202030204" pitchFamily="34" charset="0"/>
              <a:ea typeface="+mn-ea"/>
              <a:cs typeface="+mn-cs"/>
            </a:rPr>
            <a:t>The more I support [W NEED], the more I trust you to support [D NEED]. </a:t>
          </a:r>
        </a:p>
        <a:p>
          <a:pPr marL="0" indent="0" eaLnBrk="1" fontAlgn="auto" latinLnBrk="0" hangingPunct="1"/>
          <a:r>
            <a:rPr lang="en-US" sz="1050" baseline="0">
              <a:solidFill>
                <a:srgbClr val="780091"/>
              </a:solidFill>
              <a:latin typeface="Arial Narrow" panose="020B0606020202030204" pitchFamily="34" charset="0"/>
              <a:ea typeface="+mn-ea"/>
              <a:cs typeface="+mn-cs"/>
            </a:rPr>
            <a:t>The more I support your needs, the more I trust you to support my needs</a:t>
          </a:r>
          <a:r>
            <a:rPr lang="en-US" sz="1050" baseline="0">
              <a:solidFill>
                <a:srgbClr val="CC00CC"/>
              </a:solidFill>
              <a:latin typeface="Arial Narrow" panose="020B0606020202030204" pitchFamily="34" charset="0"/>
              <a:ea typeface="+mn-ea"/>
              <a:cs typeface="+mn-cs"/>
            </a:rPr>
            <a:t>. </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9. Let love take you back to the source</a:t>
          </a:r>
        </a:p>
        <a:p>
          <a:pPr eaLnBrk="1" fontAlgn="auto" latinLnBrk="0" hangingPunct="1"/>
          <a:r>
            <a:rPr lang="en-US" sz="1050" baseline="0">
              <a:solidFill>
                <a:schemeClr val="dk1"/>
              </a:solidFill>
              <a:latin typeface="Arial Narrow" panose="020B0606020202030204" pitchFamily="34" charset="0"/>
              <a:ea typeface="+mn-ea"/>
              <a:cs typeface="+mn-cs"/>
            </a:rPr>
            <a:t>If there are competing ways for a society to address a particular public facing need, like [ISSUE], then there is likely something wrong with that society. Core needs generally do not contradict. Or they never would have evolved in the first place. Together, with empathy and love, you paradoxically resolve each other's competing [ISSUE] priorities. So you can both complement each other once again.</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a:t>
          </a: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Harmonize your politics to each other's needs</a:t>
          </a:r>
        </a:p>
        <a:p>
          <a:pPr eaLnBrk="1" fontAlgn="auto" latinLnBrk="0" hangingPunct="1"/>
          <a:r>
            <a:rPr lang="en-US" sz="1050" baseline="0">
              <a:solidFill>
                <a:schemeClr val="dk1"/>
              </a:solidFill>
              <a:latin typeface="Arial Narrow" panose="020B0606020202030204" pitchFamily="34" charset="0"/>
              <a:ea typeface="+mn-ea"/>
              <a:cs typeface="+mn-cs"/>
            </a:rPr>
            <a:t>The better you relate to the other side's need to [EASE], the easier to move on to more specific and mutually respectful ways to address their impacted [ISSUE] needs. You then make it easier for them them to relate to your need to [EASE] </a:t>
          </a:r>
          <a:r>
            <a:rPr lang="en-US" sz="1050" spc="-10" baseline="0">
              <a:solidFill>
                <a:schemeClr val="dk1"/>
              </a:solidFill>
              <a:latin typeface="Arial Narrow" panose="020B0606020202030204" pitchFamily="34" charset="0"/>
              <a:ea typeface="+mn-ea"/>
              <a:cs typeface="+mn-cs"/>
            </a:rPr>
            <a:t>or more specific ways to address your impacted [ISSUE] needs</a:t>
          </a:r>
          <a:r>
            <a:rPr lang="en-US" sz="1050" spc="-20" baseline="0">
              <a:solidFill>
                <a:schemeClr val="dk1"/>
              </a:solidFill>
              <a:latin typeface="Arial Narrow" panose="020B0606020202030204" pitchFamily="34" charset="0"/>
              <a:ea typeface="+mn-ea"/>
              <a:cs typeface="+mn-cs"/>
            </a:rPr>
            <a:t>. </a:t>
          </a:r>
          <a:r>
            <a:rPr lang="en-US" sz="1050" spc="-10" baseline="0">
              <a:solidFill>
                <a:schemeClr val="dk1"/>
              </a:solidFill>
              <a:latin typeface="Arial Narrow" panose="020B0606020202030204" pitchFamily="34" charset="0"/>
              <a:ea typeface="+mn-ea"/>
              <a:cs typeface="+mn-cs"/>
            </a:rPr>
            <a:t>The more you move </a:t>
          </a:r>
          <a:r>
            <a:rPr lang="en-US" sz="1050" spc="-20" baseline="0">
              <a:solidFill>
                <a:schemeClr val="dk1"/>
              </a:solidFill>
              <a:latin typeface="Arial Narrow" panose="020B0606020202030204" pitchFamily="34" charset="0"/>
              <a:ea typeface="+mn-ea"/>
              <a:cs typeface="+mn-cs"/>
            </a:rPr>
            <a:t>from </a:t>
          </a:r>
          <a:r>
            <a:rPr lang="en-US" sz="1050" spc="-10" baseline="0">
              <a:solidFill>
                <a:schemeClr val="dk1"/>
              </a:solidFill>
              <a:latin typeface="Arial Narrow" panose="020B0606020202030204" pitchFamily="34" charset="0"/>
              <a:ea typeface="+mn-ea"/>
              <a:cs typeface="+mn-cs"/>
            </a:rPr>
            <a:t>generalizing</a:t>
          </a:r>
          <a:r>
            <a:rPr lang="en-US" sz="1050" spc="-20" baseline="0">
              <a:solidFill>
                <a:schemeClr val="dk1"/>
              </a:solidFill>
              <a:latin typeface="Arial Narrow" panose="020B0606020202030204" pitchFamily="34" charset="0"/>
              <a:ea typeface="+mn-ea"/>
              <a:cs typeface="+mn-cs"/>
            </a:rPr>
            <a:t> from your [FOCUS]</a:t>
          </a:r>
          <a:r>
            <a:rPr lang="en-US" sz="1050" baseline="0">
              <a:solidFill>
                <a:schemeClr val="dk1"/>
              </a:solidFill>
              <a:latin typeface="Arial Narrow" panose="020B0606020202030204" pitchFamily="34" charset="0"/>
              <a:ea typeface="+mn-ea"/>
              <a:cs typeface="+mn-cs"/>
            </a:rPr>
            <a:t> emphasis, the better you can appreciate the specifics behind their [FOCUS] emphasis. In fact, political winners earn a </a:t>
          </a:r>
          <a:r>
            <a:rPr lang="en-US" sz="1050" spc="-10" baseline="0">
              <a:solidFill>
                <a:schemeClr val="dk1"/>
              </a:solidFill>
              <a:latin typeface="Arial Narrow" panose="020B0606020202030204" pitchFamily="34" charset="0"/>
              <a:ea typeface="+mn-ea"/>
              <a:cs typeface="+mn-cs"/>
            </a:rPr>
            <a:t>greater responsibility to support the losing side's [ISSUE] impacted needs. You both drop your guard to connect with each</a:t>
          </a:r>
          <a:r>
            <a:rPr lang="en-US" sz="1050" baseline="0">
              <a:solidFill>
                <a:schemeClr val="dk1"/>
              </a:solidFill>
              <a:latin typeface="Arial Narrow" panose="020B0606020202030204" pitchFamily="34" charset="0"/>
              <a:ea typeface="+mn-ea"/>
              <a:cs typeface="+mn-cs"/>
            </a:rPr>
            <a:t> other's needs, with empathy and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a:t>
          </a: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xdr:col>
      <xdr:colOff>30480</xdr:colOff>
      <xdr:row>229</xdr:row>
      <xdr:rowOff>38100</xdr:rowOff>
    </xdr:from>
    <xdr:to>
      <xdr:col>2</xdr:col>
      <xdr:colOff>22860</xdr:colOff>
      <xdr:row>234</xdr:row>
      <xdr:rowOff>243840</xdr:rowOff>
    </xdr:to>
    <xdr:sp macro="" textlink="">
      <xdr:nvSpPr>
        <xdr:cNvPr id="198" name="Speech Bubble: Rectangle with Corners Rounded 197">
          <a:extLst>
            <a:ext uri="{FF2B5EF4-FFF2-40B4-BE49-F238E27FC236}">
              <a16:creationId xmlns:a16="http://schemas.microsoft.com/office/drawing/2014/main" id="{00000000-0008-0000-0000-0000C6000000}"/>
            </a:ext>
          </a:extLst>
        </xdr:cNvPr>
        <xdr:cNvSpPr/>
      </xdr:nvSpPr>
      <xdr:spPr>
        <a:xfrm>
          <a:off x="144780" y="57370980"/>
          <a:ext cx="495300" cy="1463040"/>
        </a:xfrm>
        <a:prstGeom prst="wedgeRoundRectCallout">
          <a:avLst>
            <a:gd name="adj1" fmla="val 79167"/>
            <a:gd name="adj2" fmla="val -41642"/>
            <a:gd name="adj3" fmla="val 16667"/>
          </a:avLst>
        </a:prstGeom>
        <a:no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12</xdr:col>
      <xdr:colOff>15240</xdr:colOff>
      <xdr:row>229</xdr:row>
      <xdr:rowOff>38100</xdr:rowOff>
    </xdr:from>
    <xdr:to>
      <xdr:col>13</xdr:col>
      <xdr:colOff>7620</xdr:colOff>
      <xdr:row>234</xdr:row>
      <xdr:rowOff>243840</xdr:rowOff>
    </xdr:to>
    <xdr:sp macro="" textlink="">
      <xdr:nvSpPr>
        <xdr:cNvPr id="644" name="Speech Bubble: Rectangle with Corners Rounded 643">
          <a:extLst>
            <a:ext uri="{FF2B5EF4-FFF2-40B4-BE49-F238E27FC236}">
              <a16:creationId xmlns:a16="http://schemas.microsoft.com/office/drawing/2014/main" id="{00000000-0008-0000-0000-000084020000}"/>
            </a:ext>
          </a:extLst>
        </xdr:cNvPr>
        <xdr:cNvSpPr/>
      </xdr:nvSpPr>
      <xdr:spPr>
        <a:xfrm>
          <a:off x="5661660" y="57370980"/>
          <a:ext cx="495300" cy="1463040"/>
        </a:xfrm>
        <a:prstGeom prst="wedgeRoundRectCallout">
          <a:avLst>
            <a:gd name="adj1" fmla="val -99295"/>
            <a:gd name="adj2" fmla="val -39559"/>
            <a:gd name="adj3" fmla="val 16667"/>
          </a:avLst>
        </a:prstGeom>
        <a:no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0</xdr:col>
      <xdr:colOff>83820</xdr:colOff>
      <xdr:row>411</xdr:row>
      <xdr:rowOff>243840</xdr:rowOff>
    </xdr:from>
    <xdr:ext cx="949670" cy="975360"/>
    <xdr:pic>
      <xdr:nvPicPr>
        <xdr:cNvPr id="645" name="Picture 644">
          <a:extLst>
            <a:ext uri="{FF2B5EF4-FFF2-40B4-BE49-F238E27FC236}">
              <a16:creationId xmlns:a16="http://schemas.microsoft.com/office/drawing/2014/main" id="{00000000-0008-0000-0000-000085020000}"/>
            </a:ext>
          </a:extLst>
        </xdr:cNvPr>
        <xdr:cNvPicPr>
          <a:picLocks noChangeAspect="1"/>
        </xdr:cNvPicPr>
      </xdr:nvPicPr>
      <xdr:blipFill rotWithShape="1">
        <a:blip xmlns:r="http://schemas.openxmlformats.org/officeDocument/2006/relationships" r:embed="rId49"/>
        <a:srcRect l="14106" t="5971" r="10441"/>
        <a:stretch/>
      </xdr:blipFill>
      <xdr:spPr>
        <a:xfrm>
          <a:off x="83820" y="111770160"/>
          <a:ext cx="949670" cy="975360"/>
        </a:xfrm>
        <a:prstGeom prst="rect">
          <a:avLst/>
        </a:prstGeom>
      </xdr:spPr>
    </xdr:pic>
    <xdr:clientData/>
  </xdr:oneCellAnchor>
  <xdr:oneCellAnchor>
    <xdr:from>
      <xdr:col>11</xdr:col>
      <xdr:colOff>47301</xdr:colOff>
      <xdr:row>411</xdr:row>
      <xdr:rowOff>182618</xdr:rowOff>
    </xdr:from>
    <xdr:ext cx="897223" cy="1027599"/>
    <xdr:pic>
      <xdr:nvPicPr>
        <xdr:cNvPr id="646" name="Picture 645">
          <a:extLst>
            <a:ext uri="{FF2B5EF4-FFF2-40B4-BE49-F238E27FC236}">
              <a16:creationId xmlns:a16="http://schemas.microsoft.com/office/drawing/2014/main" id="{00000000-0008-0000-0000-000086020000}"/>
            </a:ext>
          </a:extLst>
        </xdr:cNvPr>
        <xdr:cNvPicPr>
          <a:picLocks noChangeAspect="1"/>
        </xdr:cNvPicPr>
      </xdr:nvPicPr>
      <xdr:blipFill rotWithShape="1">
        <a:blip xmlns:r="http://schemas.openxmlformats.org/officeDocument/2006/relationships" r:embed="rId50"/>
        <a:srcRect l="10197" t="5287" r="7107"/>
        <a:stretch/>
      </xdr:blipFill>
      <xdr:spPr>
        <a:xfrm>
          <a:off x="5190801" y="111708938"/>
          <a:ext cx="897223" cy="1027599"/>
        </a:xfrm>
        <a:prstGeom prst="rect">
          <a:avLst/>
        </a:prstGeom>
      </xdr:spPr>
    </xdr:pic>
    <xdr:clientData/>
  </xdr:oneCellAnchor>
  <xdr:twoCellAnchor>
    <xdr:from>
      <xdr:col>0</xdr:col>
      <xdr:colOff>76200</xdr:colOff>
      <xdr:row>410</xdr:row>
      <xdr:rowOff>7498</xdr:rowOff>
    </xdr:from>
    <xdr:to>
      <xdr:col>13</xdr:col>
      <xdr:colOff>25677</xdr:colOff>
      <xdr:row>411</xdr:row>
      <xdr:rowOff>187066</xdr:rowOff>
    </xdr:to>
    <xdr:grpSp>
      <xdr:nvGrpSpPr>
        <xdr:cNvPr id="647" name="Group 646">
          <a:extLst>
            <a:ext uri="{FF2B5EF4-FFF2-40B4-BE49-F238E27FC236}">
              <a16:creationId xmlns:a16="http://schemas.microsoft.com/office/drawing/2014/main" id="{00000000-0008-0000-0000-000087020000}"/>
            </a:ext>
          </a:extLst>
        </xdr:cNvPr>
        <xdr:cNvGrpSpPr/>
      </xdr:nvGrpSpPr>
      <xdr:grpSpPr>
        <a:xfrm>
          <a:off x="76200" y="99227518"/>
          <a:ext cx="6098817" cy="240528"/>
          <a:chOff x="6416054" y="107474752"/>
          <a:chExt cx="6101025" cy="273199"/>
        </a:xfrm>
      </xdr:grpSpPr>
      <xdr:pic>
        <xdr:nvPicPr>
          <xdr:cNvPr id="648" name="DEEP focused">
            <a:extLst>
              <a:ext uri="{FF2B5EF4-FFF2-40B4-BE49-F238E27FC236}">
                <a16:creationId xmlns:a16="http://schemas.microsoft.com/office/drawing/2014/main" id="{00000000-0008-0000-0000-000088020000}"/>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b="82888"/>
          <a:stretch/>
        </xdr:blipFill>
        <xdr:spPr>
          <a:xfrm>
            <a:off x="9443582" y="107474752"/>
            <a:ext cx="3073497" cy="272611"/>
          </a:xfrm>
          <a:prstGeom prst="rect">
            <a:avLst/>
          </a:prstGeom>
        </xdr:spPr>
      </xdr:pic>
      <xdr:pic>
        <xdr:nvPicPr>
          <xdr:cNvPr id="649" name="WIDE focused">
            <a:extLst>
              <a:ext uri="{FF2B5EF4-FFF2-40B4-BE49-F238E27FC236}">
                <a16:creationId xmlns:a16="http://schemas.microsoft.com/office/drawing/2014/main" id="{00000000-0008-0000-0000-000089020000}"/>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b="82859"/>
          <a:stretch/>
        </xdr:blipFill>
        <xdr:spPr>
          <a:xfrm>
            <a:off x="6416054" y="107474883"/>
            <a:ext cx="3073497" cy="273068"/>
          </a:xfrm>
          <a:prstGeom prst="rect">
            <a:avLst/>
          </a:prstGeom>
        </xdr:spPr>
      </xdr:pic>
    </xdr:grpSp>
    <xdr:clientData/>
  </xdr:twoCellAnchor>
  <xdr:twoCellAnchor>
    <xdr:from>
      <xdr:col>0</xdr:col>
      <xdr:colOff>62306</xdr:colOff>
      <xdr:row>426</xdr:row>
      <xdr:rowOff>145234</xdr:rowOff>
    </xdr:from>
    <xdr:to>
      <xdr:col>13</xdr:col>
      <xdr:colOff>70374</xdr:colOff>
      <xdr:row>459</xdr:row>
      <xdr:rowOff>190500</xdr:rowOff>
    </xdr:to>
    <xdr:sp macro="" textlink="">
      <xdr:nvSpPr>
        <xdr:cNvPr id="660" name="Rectangle: Rounded Corners 659">
          <a:extLst>
            <a:ext uri="{FF2B5EF4-FFF2-40B4-BE49-F238E27FC236}">
              <a16:creationId xmlns:a16="http://schemas.microsoft.com/office/drawing/2014/main" id="{00000000-0008-0000-0000-000094020000}"/>
            </a:ext>
          </a:extLst>
        </xdr:cNvPr>
        <xdr:cNvSpPr/>
      </xdr:nvSpPr>
      <xdr:spPr>
        <a:xfrm>
          <a:off x="62306" y="102596134"/>
          <a:ext cx="6157408" cy="7200446"/>
        </a:xfrm>
        <a:prstGeom prst="roundRect">
          <a:avLst>
            <a:gd name="adj" fmla="val 1341"/>
          </a:avLst>
        </a:prstGeom>
        <a:solidFill>
          <a:srgbClr val="A5FFC8"/>
        </a:solidFill>
        <a:ln w="57150">
          <a:solidFill>
            <a:srgbClr val="A5FFC8"/>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15392</xdr:colOff>
      <xdr:row>387</xdr:row>
      <xdr:rowOff>48028</xdr:rowOff>
    </xdr:from>
    <xdr:to>
      <xdr:col>12</xdr:col>
      <xdr:colOff>455659</xdr:colOff>
      <xdr:row>410</xdr:row>
      <xdr:rowOff>53340</xdr:rowOff>
    </xdr:to>
    <xdr:sp macro="" textlink="">
      <xdr:nvSpPr>
        <xdr:cNvPr id="146" name="TextBox 145">
          <a:extLst>
            <a:ext uri="{FF2B5EF4-FFF2-40B4-BE49-F238E27FC236}">
              <a16:creationId xmlns:a16="http://schemas.microsoft.com/office/drawing/2014/main" id="{00000000-0008-0000-0000-000092000000}"/>
            </a:ext>
          </a:extLst>
        </xdr:cNvPr>
        <xdr:cNvSpPr txBox="1"/>
      </xdr:nvSpPr>
      <xdr:spPr>
        <a:xfrm>
          <a:off x="129692" y="93995008"/>
          <a:ext cx="5972387" cy="5278352"/>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noAutofit/>
        </a:bodyPr>
        <a:lstStyle/>
        <a:p>
          <a:pPr>
            <a:spcAft>
              <a:spcPts val="1200"/>
            </a:spcAft>
          </a:pPr>
          <a:r>
            <a:rPr lang="en-US" sz="1600" b="1">
              <a:latin typeface="Tahoma" panose="020B0604030504040204" pitchFamily="34" charset="0"/>
              <a:ea typeface="Tahoma" panose="020B0604030504040204" pitchFamily="34" charset="0"/>
              <a:cs typeface="Tahoma" panose="020B0604030504040204" pitchFamily="34" charset="0"/>
            </a:rPr>
            <a:t>5 dimensions</a:t>
          </a:r>
          <a:r>
            <a:rPr lang="en-US" sz="1600" b="1" baseline="0">
              <a:latin typeface="Tahoma" panose="020B0604030504040204" pitchFamily="34" charset="0"/>
              <a:ea typeface="Tahoma" panose="020B0604030504040204" pitchFamily="34" charset="0"/>
              <a:cs typeface="Tahoma" panose="020B0604030504040204" pitchFamily="34" charset="0"/>
            </a:rPr>
            <a:t> of politics</a:t>
          </a:r>
        </a:p>
        <a:p>
          <a:r>
            <a:rPr lang="en-US" sz="1200" baseline="0">
              <a:latin typeface="Cambria" panose="02040503050406030204" pitchFamily="18" charset="0"/>
              <a:ea typeface="Cambria" panose="02040503050406030204" pitchFamily="18" charset="0"/>
            </a:rPr>
            <a:t>Politics exist to shape how the public is to address each other's publicly impacted needs. As one dimension of politics eases, another dimension draws more attention. We consider at least five of these dimensions.</a:t>
          </a:r>
          <a:endParaRPr lang="en-US" sz="1100" baseline="0"/>
        </a:p>
        <a:p>
          <a:endParaRPr lang="en-US" sz="1100" baseline="0"/>
        </a:p>
        <a:p>
          <a:r>
            <a:rPr lang="en-US" sz="1100" b="1" baseline="0">
              <a:latin typeface="Cambria" panose="02040503050406030204" pitchFamily="18" charset="0"/>
              <a:ea typeface="Cambria" panose="02040503050406030204" pitchFamily="18" charset="0"/>
            </a:rPr>
            <a:t>1. The left-right divide</a:t>
          </a:r>
          <a:r>
            <a:rPr lang="en-US" sz="1100" baseline="0">
              <a:latin typeface="Cambria" panose="02040503050406030204" pitchFamily="18" charset="0"/>
              <a:ea typeface="Cambria" panose="02040503050406030204" pitchFamily="18" charset="0"/>
            </a:rPr>
            <a:t>. The more self-needs resolve than publicly impacted social-needs, the more liberal values offer relief. The more social-needs resolve than publicly impacted self-needs, the more conservative values offer relief.</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2. The populist-establishment divide</a:t>
          </a:r>
          <a:r>
            <a:rPr lang="en-US" sz="1100" baseline="0">
              <a:latin typeface="Cambria" panose="02040503050406030204" pitchFamily="18" charset="0"/>
              <a:ea typeface="Cambria" panose="02040503050406030204" pitchFamily="18" charset="0"/>
            </a:rPr>
            <a:t>. The less experts are perceived as trustsworthy or qualified, the less content with the establishment of presumed expertise. The more experts are peceived trustworthy and qualifed, the more content with the current establishment of professional experts.</a:t>
          </a:r>
        </a:p>
        <a:p>
          <a:r>
            <a:rPr lang="en-US" sz="1100" baseline="0">
              <a:latin typeface="Cambria" panose="02040503050406030204" pitchFamily="18" charset="0"/>
              <a:ea typeface="Cambria" panose="02040503050406030204" pitchFamily="18" charset="0"/>
            </a:rPr>
            <a:t> </a:t>
          </a:r>
        </a:p>
        <a:p>
          <a:r>
            <a:rPr lang="en-US" sz="1100" b="1" baseline="0">
              <a:latin typeface="Cambria" panose="02040503050406030204" pitchFamily="18" charset="0"/>
              <a:ea typeface="Cambria" panose="02040503050406030204" pitchFamily="18" charset="0"/>
            </a:rPr>
            <a:t>3. The advantaged-disadvantaged divide</a:t>
          </a:r>
          <a:r>
            <a:rPr lang="en-US" sz="1100" baseline="0">
              <a:latin typeface="Cambria" panose="02040503050406030204" pitchFamily="18" charset="0"/>
              <a:ea typeface="Cambria" panose="02040503050406030204" pitchFamily="18" charset="0"/>
            </a:rPr>
            <a:t>. The more advantaged by current conditions, the more content with the political status quo. The more disadvantaged ostensibly by the political status quo, the more discontent with the current political milieu.</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4. The generalizing-specifics divide</a:t>
          </a:r>
          <a:r>
            <a:rPr lang="en-US" sz="1100" baseline="0">
              <a:latin typeface="Cambria" panose="02040503050406030204" pitchFamily="18" charset="0"/>
              <a:ea typeface="Cambria" panose="02040503050406030204" pitchFamily="18" charset="0"/>
            </a:rPr>
            <a:t>. The more generalizing to address publicly impacted needs, the less attention to exceptional or nuanced specifics, and the less likely needs resolve. The more any generalizing freely segues into applicable specifics, the more likely needs resolve.</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5. The relieving-resolving divide</a:t>
          </a:r>
          <a:r>
            <a:rPr lang="en-US" sz="1100" baseline="0">
              <a:latin typeface="Cambria" panose="02040503050406030204" pitchFamily="18" charset="0"/>
              <a:ea typeface="Cambria" panose="02040503050406030204" pitchFamily="18" charset="0"/>
            </a:rPr>
            <a:t>. The more unresolved publicly impacted needs are relieved of pain, the less likely they can fully resolve. The more publicly impacted needs freely resolve, the less pain and greater the functioning.</a:t>
          </a:r>
        </a:p>
        <a:p>
          <a:endParaRPr lang="en-US" sz="1100" baseline="0">
            <a:latin typeface="Cambria" panose="02040503050406030204" pitchFamily="18" charset="0"/>
            <a:ea typeface="Cambria" panose="02040503050406030204" pitchFamily="18" charset="0"/>
          </a:endParaRPr>
        </a:p>
        <a:p>
          <a:r>
            <a:rPr lang="en-US" sz="1100" baseline="0">
              <a:latin typeface="Cambria" panose="02040503050406030204" pitchFamily="18" charset="0"/>
              <a:ea typeface="Cambria" panose="02040503050406030204" pitchFamily="18" charset="0"/>
            </a:rPr>
            <a:t>Perhaps other dimesions of politics exist. These are the dimensions addressed by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We start with the left-right divide as the first barrier to resolving politicized needs. Grounded in </a:t>
          </a:r>
          <a:r>
            <a:rPr lang="en-US" sz="1100" i="1" baseline="0">
              <a:latin typeface="Cambria" panose="02040503050406030204" pitchFamily="18" charset="0"/>
              <a:ea typeface="Cambria" panose="02040503050406030204" pitchFamily="18" charset="0"/>
            </a:rPr>
            <a:t>anankelogy</a:t>
          </a:r>
          <a:r>
            <a:rPr lang="en-US" sz="1100" baseline="0">
              <a:latin typeface="Cambria" panose="02040503050406030204" pitchFamily="18" charset="0"/>
              <a:ea typeface="Cambria" panose="02040503050406030204" pitchFamily="18" charset="0"/>
            </a:rPr>
            <a:t>, the study of need,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appreciates our political differences as anchored to various orientations. Our routine needs orient us to the best way available to relieve them. The left-right divide externally expresses our inward psychosocial orientation.</a:t>
          </a:r>
        </a:p>
        <a:p>
          <a:endParaRPr lang="en-US" sz="1100">
            <a:latin typeface="Cambria" panose="02040503050406030204" pitchFamily="18" charset="0"/>
            <a:ea typeface="Cambria" panose="02040503050406030204" pitchFamily="18" charset="0"/>
          </a:endParaRPr>
        </a:p>
      </xdr:txBody>
    </xdr:sp>
    <xdr:clientData/>
  </xdr:twoCellAnchor>
  <xdr:twoCellAnchor>
    <xdr:from>
      <xdr:col>1</xdr:col>
      <xdr:colOff>152</xdr:colOff>
      <xdr:row>406</xdr:row>
      <xdr:rowOff>199477</xdr:rowOff>
    </xdr:from>
    <xdr:to>
      <xdr:col>12</xdr:col>
      <xdr:colOff>440419</xdr:colOff>
      <xdr:row>410</xdr:row>
      <xdr:rowOff>38398</xdr:rowOff>
    </xdr:to>
    <xdr:sp macro="" textlink="">
      <xdr:nvSpPr>
        <xdr:cNvPr id="688" name="TextBox 687">
          <a:hlinkClick xmlns:r="http://schemas.openxmlformats.org/officeDocument/2006/relationships" r:id="rId21"/>
          <a:extLst>
            <a:ext uri="{FF2B5EF4-FFF2-40B4-BE49-F238E27FC236}">
              <a16:creationId xmlns:a16="http://schemas.microsoft.com/office/drawing/2014/main" id="{00000000-0008-0000-0000-0000B0020000}"/>
            </a:ext>
          </a:extLst>
        </xdr:cNvPr>
        <xdr:cNvSpPr txBox="1"/>
      </xdr:nvSpPr>
      <xdr:spPr>
        <a:xfrm>
          <a:off x="112211" y="98960653"/>
          <a:ext cx="5946090" cy="914686"/>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noAutofit/>
        </a:bodyPr>
        <a:lstStyle/>
        <a:p>
          <a:r>
            <a:rPr lang="en-US" sz="1100" baseline="0">
              <a:latin typeface="Cambria" panose="02040503050406030204" pitchFamily="18" charset="0"/>
              <a:ea typeface="Cambria" panose="02040503050406030204" pitchFamily="18" charset="0"/>
            </a:rPr>
            <a:t>Perhaps other dimesions of politics exist. These are the dimensions addressed by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We start with the left-right divide as the first barrier to resolving politicized needs. Grounded in </a:t>
          </a:r>
          <a:r>
            <a:rPr lang="en-US" sz="1100" i="1" baseline="0">
              <a:solidFill>
                <a:srgbClr val="0070C0"/>
              </a:solidFill>
              <a:latin typeface="Cambria" panose="02040503050406030204" pitchFamily="18" charset="0"/>
              <a:ea typeface="Cambria" panose="02040503050406030204" pitchFamily="18" charset="0"/>
            </a:rPr>
            <a:t>anankelogy</a:t>
          </a:r>
          <a:r>
            <a:rPr lang="en-US" sz="1100" baseline="0">
              <a:latin typeface="Cambria" panose="02040503050406030204" pitchFamily="18" charset="0"/>
              <a:ea typeface="Cambria" panose="02040503050406030204" pitchFamily="18" charset="0"/>
            </a:rPr>
            <a:t>, the study of need,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appreciates our political differences as anchored to various orientations. Our routine needs orient us to the best way available to relieve them. The left-right divide externally expresses our inward psychosocial orientation.</a:t>
          </a:r>
        </a:p>
        <a:p>
          <a:endParaRPr lang="en-US" sz="1100">
            <a:latin typeface="Cambria" panose="02040503050406030204" pitchFamily="18" charset="0"/>
            <a:ea typeface="Cambria" panose="02040503050406030204" pitchFamily="18" charset="0"/>
          </a:endParaRPr>
        </a:p>
      </xdr:txBody>
    </xdr:sp>
    <xdr:clientData/>
  </xdr:twoCellAnchor>
  <xdr:twoCellAnchor>
    <xdr:from>
      <xdr:col>1</xdr:col>
      <xdr:colOff>20770</xdr:colOff>
      <xdr:row>523</xdr:row>
      <xdr:rowOff>2824</xdr:rowOff>
    </xdr:from>
    <xdr:to>
      <xdr:col>12</xdr:col>
      <xdr:colOff>432250</xdr:colOff>
      <xdr:row>528</xdr:row>
      <xdr:rowOff>45720</xdr:rowOff>
    </xdr:to>
    <xdr:sp macro="" textlink="">
      <xdr:nvSpPr>
        <xdr:cNvPr id="692" name="TextBox 691">
          <a:extLst>
            <a:ext uri="{FF2B5EF4-FFF2-40B4-BE49-F238E27FC236}">
              <a16:creationId xmlns:a16="http://schemas.microsoft.com/office/drawing/2014/main" id="{00000000-0008-0000-0000-0000B4020000}"/>
            </a:ext>
          </a:extLst>
        </xdr:cNvPr>
        <xdr:cNvSpPr txBox="1"/>
      </xdr:nvSpPr>
      <xdr:spPr>
        <a:xfrm>
          <a:off x="135070" y="125671864"/>
          <a:ext cx="5943600" cy="11096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IPM hands you a stick-and-carrot approach to Impactors. It is not in their interest to be found complicit with your anxiety, depression, addiction risks, and other stressor maladies. Contributing positively to your needs while not detracting from your needs becomes a matter of legitimacy for each Impactor. No one has directly addressed this proactively until now. Later in this IPM process, you assess and audit the legitimacy of each Impactor. You each recognized the value you have to each other, as a condition for continuing positive rapport. </a:t>
          </a:r>
          <a:endParaRPr lang="en-US" sz="1050">
            <a:latin typeface="Arial Narrow" panose="020B0606020202030204" pitchFamily="34" charset="0"/>
          </a:endParaRPr>
        </a:p>
      </xdr:txBody>
    </xdr:sp>
    <xdr:clientData/>
  </xdr:twoCellAnchor>
  <xdr:twoCellAnchor>
    <xdr:from>
      <xdr:col>1</xdr:col>
      <xdr:colOff>53340</xdr:colOff>
      <xdr:row>496</xdr:row>
      <xdr:rowOff>1</xdr:rowOff>
    </xdr:from>
    <xdr:to>
      <xdr:col>6</xdr:col>
      <xdr:colOff>281940</xdr:colOff>
      <xdr:row>497</xdr:row>
      <xdr:rowOff>22861</xdr:rowOff>
    </xdr:to>
    <xdr:sp macro="" textlink="">
      <xdr:nvSpPr>
        <xdr:cNvPr id="695" name="STTP subheader">
          <a:extLst>
            <a:ext uri="{FF2B5EF4-FFF2-40B4-BE49-F238E27FC236}">
              <a16:creationId xmlns:a16="http://schemas.microsoft.com/office/drawing/2014/main" id="{00000000-0008-0000-0000-0000B7020000}"/>
            </a:ext>
          </a:extLst>
        </xdr:cNvPr>
        <xdr:cNvSpPr/>
      </xdr:nvSpPr>
      <xdr:spPr>
        <a:xfrm>
          <a:off x="167640" y="119451121"/>
          <a:ext cx="2743200" cy="274320"/>
        </a:xfrm>
        <a:prstGeom prst="rect">
          <a:avLst/>
        </a:prstGeom>
        <a:noFill/>
      </xdr:spPr>
      <xdr:txBody>
        <a:bodyPr wrap="none" lIns="0" tIns="0" rIns="0" bIns="0">
          <a:noAutofit/>
        </a:bodyPr>
        <a:lstStyle/>
        <a:p>
          <a:pPr algn="l"/>
          <a:r>
            <a:rPr lang="en-US" sz="1600" b="1" cap="none" spc="0">
              <a:ln w="10160">
                <a:solidFill>
                  <a:srgbClr val="009646"/>
                </a:solidFill>
                <a:prstDash val="solid"/>
              </a:ln>
              <a:solidFill>
                <a:srgbClr val="00823C"/>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SPEAK TRUTH TO POWER</a:t>
          </a:r>
        </a:p>
      </xdr:txBody>
    </xdr:sp>
    <xdr:clientData/>
  </xdr:twoCellAnchor>
  <xdr:twoCellAnchor>
    <xdr:from>
      <xdr:col>6</xdr:col>
      <xdr:colOff>455358</xdr:colOff>
      <xdr:row>496</xdr:row>
      <xdr:rowOff>0</xdr:rowOff>
    </xdr:from>
    <xdr:to>
      <xdr:col>12</xdr:col>
      <xdr:colOff>449047</xdr:colOff>
      <xdr:row>497</xdr:row>
      <xdr:rowOff>22860</xdr:rowOff>
    </xdr:to>
    <xdr:sp macro="" textlink="">
      <xdr:nvSpPr>
        <xdr:cNvPr id="696" name="LTTI subheader">
          <a:extLst>
            <a:ext uri="{FF2B5EF4-FFF2-40B4-BE49-F238E27FC236}">
              <a16:creationId xmlns:a16="http://schemas.microsoft.com/office/drawing/2014/main" id="{00000000-0008-0000-0000-0000B8020000}"/>
            </a:ext>
          </a:extLst>
        </xdr:cNvPr>
        <xdr:cNvSpPr/>
      </xdr:nvSpPr>
      <xdr:spPr>
        <a:xfrm>
          <a:off x="3084258" y="119451120"/>
          <a:ext cx="3011209" cy="274320"/>
        </a:xfrm>
        <a:prstGeom prst="rect">
          <a:avLst/>
        </a:prstGeom>
        <a:noFill/>
      </xdr:spPr>
      <xdr:txBody>
        <a:bodyPr wrap="none" lIns="0" tIns="0" rIns="0" bIns="0">
          <a:noAutofit/>
        </a:bodyPr>
        <a:lstStyle/>
        <a:p>
          <a:pPr algn="r"/>
          <a:r>
            <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LISTEN</a:t>
          </a:r>
          <a:r>
            <a:rPr lang="en-US" sz="1600" b="1" cap="none" spc="-30" baseline="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 TO THOSE IMPACTED</a:t>
          </a:r>
          <a:endPar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22411</xdr:colOff>
      <xdr:row>581</xdr:row>
      <xdr:rowOff>52292</xdr:rowOff>
    </xdr:from>
    <xdr:to>
      <xdr:col>12</xdr:col>
      <xdr:colOff>460188</xdr:colOff>
      <xdr:row>592</xdr:row>
      <xdr:rowOff>92932</xdr:rowOff>
    </xdr:to>
    <xdr:sp macro="" textlink="">
      <xdr:nvSpPr>
        <xdr:cNvPr id="703" name="TextBox 702">
          <a:extLst>
            <a:ext uri="{FF2B5EF4-FFF2-40B4-BE49-F238E27FC236}">
              <a16:creationId xmlns:a16="http://schemas.microsoft.com/office/drawing/2014/main" id="{00000000-0008-0000-0000-0000BF020000}"/>
            </a:ext>
          </a:extLst>
        </xdr:cNvPr>
        <xdr:cNvSpPr txBox="1"/>
      </xdr:nvSpPr>
      <xdr:spPr>
        <a:xfrm>
          <a:off x="134470" y="139714939"/>
          <a:ext cx="5943600" cy="2834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latin typeface="Tahoma" panose="020B0604030504040204" pitchFamily="34" charset="0"/>
              <a:ea typeface="Tahoma" panose="020B0604030504040204" pitchFamily="34" charset="0"/>
              <a:cs typeface="Tahoma" panose="020B0604030504040204" pitchFamily="34" charset="0"/>
            </a:rPr>
            <a:t>Support benefits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chemeClr val="dk1"/>
              </a:solidFill>
              <a:latin typeface="Cambria" panose="02040503050406030204" pitchFamily="18" charset="0"/>
              <a:ea typeface="Cambria" panose="02040503050406030204" pitchFamily="18" charset="0"/>
              <a:cs typeface="+mn-cs"/>
            </a:rPr>
            <a:t>Help cover your costs</a:t>
          </a:r>
          <a:r>
            <a:rPr lang="en-US" sz="1200" baseline="0">
              <a:solidFill>
                <a:schemeClr val="dk1"/>
              </a:solidFill>
              <a:latin typeface="Cambria" panose="02040503050406030204" pitchFamily="18" charset="0"/>
              <a:ea typeface="Cambria" panose="02040503050406030204" pitchFamily="18" charset="0"/>
              <a:cs typeface="+mn-cs"/>
            </a:rPr>
            <a:t>. Your supporters pledge to match your weekly payment, which is typically $10 per week. As they share in the costs, they share in the rewards of your progress.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latin typeface="Cambria" panose="02040503050406030204" pitchFamily="18" charset="0"/>
              <a:ea typeface="Cambria" panose="02040503050406030204" pitchFamily="18" charset="0"/>
            </a:rPr>
            <a:t>Give you helpful feedback</a:t>
          </a:r>
          <a:r>
            <a:rPr lang="en-US" sz="1200" baseline="0">
              <a:latin typeface="Cambria" panose="02040503050406030204" pitchFamily="18" charset="0"/>
              <a:ea typeface="Cambria" panose="02040503050406030204" pitchFamily="18" charset="0"/>
            </a:rPr>
            <a:t>. Your supporters give you constructive input as you face challenging decisions. And they help stretch the costs of those decisions. Their first input is to your qualifying videos.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latin typeface="Cambria" panose="02040503050406030204" pitchFamily="18" charset="0"/>
              <a:ea typeface="Cambria" panose="02040503050406030204" pitchFamily="18" charset="0"/>
            </a:rPr>
            <a:t>Hold you accountable</a:t>
          </a:r>
          <a:r>
            <a:rPr lang="en-US" sz="1200" baseline="0">
              <a:latin typeface="Cambria" panose="02040503050406030204" pitchFamily="18" charset="0"/>
              <a:ea typeface="Cambria" panose="02040503050406030204" pitchFamily="18" charset="0"/>
            </a:rPr>
            <a:t>. Research indicates you are more likely to reach your goal if you answer to others. Even if you only write down your goals and report your progress in a document no one reads, you will go stastically go further than if all on your own.</a:t>
          </a: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chemeClr val="dk1"/>
              </a:solidFill>
              <a:latin typeface="Cambria" panose="02040503050406030204" pitchFamily="18" charset="0"/>
              <a:ea typeface="Cambria" panose="02040503050406030204" pitchFamily="18" charset="0"/>
              <a:cs typeface="+mn-cs"/>
            </a:rPr>
            <a:t>Test your love</a:t>
          </a:r>
          <a:r>
            <a:rPr lang="en-US" sz="1200" baseline="0">
              <a:solidFill>
                <a:schemeClr val="dk1"/>
              </a:solidFill>
              <a:latin typeface="Cambria" panose="02040503050406030204" pitchFamily="18" charset="0"/>
              <a:ea typeface="Cambria" panose="02040503050406030204" pitchFamily="18" charset="0"/>
              <a:cs typeface="+mn-cs"/>
            </a:rPr>
            <a:t>. You practice your responsiveness to needs by responding to the needs they express to you. You build your courage that you can consistently put the needs of others ahead of your own.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latin typeface="Cambria" panose="02040503050406030204" pitchFamily="18" charset="0"/>
            <a:ea typeface="Cambria" panose="02040503050406030204" pitchFamily="18" charset="0"/>
          </a:endParaRPr>
        </a:p>
      </xdr:txBody>
    </xdr:sp>
    <xdr:clientData/>
  </xdr:twoCellAnchor>
  <xdr:oneCellAnchor>
    <xdr:from>
      <xdr:col>1</xdr:col>
      <xdr:colOff>30480</xdr:colOff>
      <xdr:row>71</xdr:row>
      <xdr:rowOff>34066</xdr:rowOff>
    </xdr:from>
    <xdr:ext cx="6035040" cy="2011680"/>
    <xdr:sp macro="" textlink="">
      <xdr:nvSpPr>
        <xdr:cNvPr id="713" name="Rectangle 712">
          <a:extLst>
            <a:ext uri="{FF2B5EF4-FFF2-40B4-BE49-F238E27FC236}">
              <a16:creationId xmlns:a16="http://schemas.microsoft.com/office/drawing/2014/main" id="{00000000-0008-0000-0000-0000C9020000}"/>
            </a:ext>
          </a:extLst>
        </xdr:cNvPr>
        <xdr:cNvSpPr/>
      </xdr:nvSpPr>
      <xdr:spPr>
        <a:xfrm>
          <a:off x="142539" y="20891948"/>
          <a:ext cx="6035040" cy="2011680"/>
        </a:xfrm>
        <a:prstGeom prst="rect">
          <a:avLst/>
        </a:prstGeom>
        <a:noFill/>
      </xdr:spPr>
      <xdr:txBody>
        <a:bodyPr wrap="square" lIns="0" tIns="0" rIns="0" bIns="0">
          <a:noAutofit/>
        </a:bodyPr>
        <a:lstStyle/>
        <a:p>
          <a:pPr algn="l"/>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Such generalizing fuels prejudice. It tempts you to believe the worst on the other side must be representative of them all. W</a:t>
          </a:r>
          <a:r>
            <a:rPr lang="en-US" sz="1600" b="0" cap="none" spc="-3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hile you assume your own side's excesses are not so bad. </a:t>
          </a:r>
        </a:p>
        <a:p>
          <a:pPr algn="l"/>
          <a:endParaRPr lang="en-US" sz="1600" b="0" cap="none" spc="-3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600" b="1" cap="none" spc="20" baseline="0">
              <a:ln w="0"/>
              <a:solidFill>
                <a:srgbClr val="00823C"/>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Harmony</a:t>
          </a:r>
          <a:r>
            <a:rPr lang="en-US" sz="1600" b="1" cap="none" spc="20" baseline="0">
              <a:ln w="0"/>
              <a:solidFill>
                <a:srgbClr val="1E5A28"/>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600" b="1" cap="none" spc="20" baseline="0">
              <a:ln w="0"/>
              <a:solidFill>
                <a:srgbClr val="780091"/>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Politics</a:t>
          </a:r>
          <a:r>
            <a:rPr lang="en-US" sz="1600" b="1"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unpacks politics like you have never seen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before. Do not take my word for it. Check it out for yourself. See </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how it can empower you to address specific needs, to resolve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them in love.</a:t>
          </a:r>
          <a:endParaRPr lang="en-US" sz="1600" b="0" cap="none" spc="0">
            <a:ln w="0"/>
            <a:solidFill>
              <a:srgbClr val="1E5A28"/>
            </a:solidFill>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xdr:col>
      <xdr:colOff>251460</xdr:colOff>
      <xdr:row>64</xdr:row>
      <xdr:rowOff>106680</xdr:rowOff>
    </xdr:from>
    <xdr:to>
      <xdr:col>12</xdr:col>
      <xdr:colOff>205740</xdr:colOff>
      <xdr:row>70</xdr:row>
      <xdr:rowOff>106680</xdr:rowOff>
    </xdr:to>
    <xdr:grpSp>
      <xdr:nvGrpSpPr>
        <xdr:cNvPr id="718" name="Group 717">
          <a:extLst>
            <a:ext uri="{FF2B5EF4-FFF2-40B4-BE49-F238E27FC236}">
              <a16:creationId xmlns:a16="http://schemas.microsoft.com/office/drawing/2014/main" id="{00000000-0008-0000-0000-0000CE020000}"/>
            </a:ext>
          </a:extLst>
        </xdr:cNvPr>
        <xdr:cNvGrpSpPr/>
      </xdr:nvGrpSpPr>
      <xdr:grpSpPr>
        <a:xfrm>
          <a:off x="365760" y="19339560"/>
          <a:ext cx="5486400" cy="1333500"/>
          <a:chOff x="419100" y="19255740"/>
          <a:chExt cx="5486400" cy="1333500"/>
        </a:xfrm>
      </xdr:grpSpPr>
      <xdr:sp macro="" textlink="">
        <xdr:nvSpPr>
          <xdr:cNvPr id="714" name="Isosceles Triangle 713">
            <a:extLst>
              <a:ext uri="{FF2B5EF4-FFF2-40B4-BE49-F238E27FC236}">
                <a16:creationId xmlns:a16="http://schemas.microsoft.com/office/drawing/2014/main" id="{00000000-0008-0000-0000-0000CA020000}"/>
              </a:ext>
            </a:extLst>
          </xdr:cNvPr>
          <xdr:cNvSpPr/>
        </xdr:nvSpPr>
        <xdr:spPr>
          <a:xfrm>
            <a:off x="1341120" y="19255740"/>
            <a:ext cx="3657600" cy="914400"/>
          </a:xfrm>
          <a:prstGeom prst="triangle">
            <a:avLst/>
          </a:prstGeom>
          <a:gradFill>
            <a:gsLst>
              <a:gs pos="78000">
                <a:srgbClr val="CBFACA"/>
              </a:gs>
              <a:gs pos="0">
                <a:srgbClr val="FFCCCC"/>
              </a:gs>
              <a:gs pos="50000">
                <a:schemeClr val="accent4">
                  <a:lumMod val="20000"/>
                  <a:lumOff val="80000"/>
                </a:schemeClr>
              </a:gs>
              <a:gs pos="100000">
                <a:srgbClr val="2BFF8C"/>
              </a:gs>
            </a:gsLst>
            <a:lin ang="16200000" scaled="1"/>
          </a:gradFill>
          <a:ln>
            <a:noFill/>
          </a:ln>
          <a:effectLst>
            <a:innerShdw blurRad="25400" dir="10800000">
              <a:srgbClr val="CC00CC"/>
            </a:inn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715" name="Arrow: Left-Right 714">
            <a:extLst>
              <a:ext uri="{FF2B5EF4-FFF2-40B4-BE49-F238E27FC236}">
                <a16:creationId xmlns:a16="http://schemas.microsoft.com/office/drawing/2014/main" id="{00000000-0008-0000-0000-0000CB020000}"/>
              </a:ext>
            </a:extLst>
          </xdr:cNvPr>
          <xdr:cNvSpPr/>
        </xdr:nvSpPr>
        <xdr:spPr>
          <a:xfrm>
            <a:off x="419100" y="20132040"/>
            <a:ext cx="5486400" cy="457200"/>
          </a:xfrm>
          <a:prstGeom prst="leftRightArrow">
            <a:avLst>
              <a:gd name="adj1" fmla="val 61057"/>
              <a:gd name="adj2" fmla="val 157317"/>
            </a:avLst>
          </a:prstGeom>
          <a:gradFill flip="none" rotWithShape="1">
            <a:gsLst>
              <a:gs pos="100000">
                <a:srgbClr val="FFCCCC"/>
              </a:gs>
              <a:gs pos="0">
                <a:schemeClr val="accent5">
                  <a:lumMod val="20000"/>
                  <a:lumOff val="80000"/>
                </a:schemeClr>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wrap="none" lIns="0" tIns="0" rIns="0" bIns="18288"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800" b="1">
                <a:ln>
                  <a:solidFill>
                    <a:srgbClr val="FFFF00"/>
                  </a:solidFill>
                </a:ln>
                <a:solidFill>
                  <a:schemeClr val="bg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OVERGENERALIZING ON EITHER SIDE</a:t>
            </a:r>
            <a:endParaRPr lang="en-US" sz="1800">
              <a:ln>
                <a:solidFill>
                  <a:srgbClr val="FFFF00"/>
                </a:solidFill>
              </a:ln>
              <a:solidFill>
                <a:schemeClr val="bg1"/>
              </a:solidFill>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716" name="Arrow: Up-Down 715">
            <a:extLst>
              <a:ext uri="{FF2B5EF4-FFF2-40B4-BE49-F238E27FC236}">
                <a16:creationId xmlns:a16="http://schemas.microsoft.com/office/drawing/2014/main" id="{00000000-0008-0000-0000-0000CC020000}"/>
              </a:ext>
            </a:extLst>
          </xdr:cNvPr>
          <xdr:cNvSpPr/>
        </xdr:nvSpPr>
        <xdr:spPr>
          <a:xfrm>
            <a:off x="1905000" y="19309080"/>
            <a:ext cx="2583180" cy="1242060"/>
          </a:xfrm>
          <a:prstGeom prst="upDownArrow">
            <a:avLst>
              <a:gd name="adj1" fmla="val 86579"/>
              <a:gd name="adj2" fmla="val 19056"/>
            </a:avLst>
          </a:prstGeom>
          <a:gradFill>
            <a:gsLst>
              <a:gs pos="0">
                <a:srgbClr val="FFCCCC">
                  <a:alpha val="45000"/>
                </a:srgbClr>
              </a:gs>
              <a:gs pos="50000">
                <a:schemeClr val="accent4">
                  <a:lumMod val="20000"/>
                  <a:lumOff val="80000"/>
                  <a:alpha val="45000"/>
                </a:schemeClr>
              </a:gs>
              <a:gs pos="100000">
                <a:srgbClr val="A5FFC8">
                  <a:alpha val="45000"/>
                </a:srgbClr>
              </a:gs>
            </a:gsLst>
            <a:lin ang="16200000" scaled="1"/>
          </a:gradFill>
          <a:ln w="3175">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wrap="none" lIns="0" tIns="0" rIns="0" bIns="0" rtlCol="0" anchor="ctr"/>
          <a:lstStyle/>
          <a:p>
            <a:pPr algn="ctr"/>
            <a:r>
              <a:rPr lang="en-US" sz="1800" b="1">
                <a:ln>
                  <a:solidFill>
                    <a:srgbClr val="A5FFC8"/>
                  </a:solidFill>
                </a:ln>
                <a:solidFill>
                  <a:srgbClr val="F3FFF7"/>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MUTUALLY RESOLVE EACH </a:t>
            </a:r>
          </a:p>
          <a:p>
            <a:pPr algn="ctr"/>
            <a:r>
              <a:rPr lang="en-US" sz="1800" b="1">
                <a:ln>
                  <a:solidFill>
                    <a:srgbClr val="A5FFC8"/>
                  </a:solidFill>
                </a:ln>
                <a:solidFill>
                  <a:srgbClr val="F3FFF7"/>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OTHER'S SPECIFIC NEEDS</a:t>
            </a: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oneCellAnchor>
    <xdr:from>
      <xdr:col>1</xdr:col>
      <xdr:colOff>38100</xdr:colOff>
      <xdr:row>80</xdr:row>
      <xdr:rowOff>4332</xdr:rowOff>
    </xdr:from>
    <xdr:ext cx="5943600" cy="773930"/>
    <xdr:sp macro="" textlink="">
      <xdr:nvSpPr>
        <xdr:cNvPr id="719" name="Identifying affected needs">
          <a:extLst>
            <a:ext uri="{FF2B5EF4-FFF2-40B4-BE49-F238E27FC236}">
              <a16:creationId xmlns:a16="http://schemas.microsoft.com/office/drawing/2014/main" id="{00000000-0008-0000-0000-0000CF020000}"/>
            </a:ext>
          </a:extLst>
        </xdr:cNvPr>
        <xdr:cNvSpPr/>
      </xdr:nvSpPr>
      <xdr:spPr>
        <a:xfrm>
          <a:off x="152400" y="23085312"/>
          <a:ext cx="5943600" cy="773930"/>
        </a:xfrm>
        <a:prstGeom prst="rect">
          <a:avLst/>
        </a:prstGeom>
        <a:noFill/>
      </xdr:spPr>
      <xdr:txBody>
        <a:bodyPr wrap="square" lIns="0" tIns="0" rIns="0" bIns="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Instructions</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Scroll down to find the white fields. Click in each white field, and then select the best option from the dropdown list. Then scroll down to read the test fitting your chosen option. Save as a PDF. Clear the fields and use again.</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1</xdr:col>
      <xdr:colOff>38100</xdr:colOff>
      <xdr:row>83</xdr:row>
      <xdr:rowOff>221428</xdr:rowOff>
    </xdr:from>
    <xdr:ext cx="5943600" cy="959686"/>
    <xdr:sp macro="" textlink="">
      <xdr:nvSpPr>
        <xdr:cNvPr id="720" name="Identifying affected needs">
          <a:extLst>
            <a:ext uri="{FF2B5EF4-FFF2-40B4-BE49-F238E27FC236}">
              <a16:creationId xmlns:a16="http://schemas.microsoft.com/office/drawing/2014/main" id="{00000000-0008-0000-0000-0000D0020000}"/>
            </a:ext>
          </a:extLst>
        </xdr:cNvPr>
        <xdr:cNvSpPr/>
      </xdr:nvSpPr>
      <xdr:spPr>
        <a:xfrm>
          <a:off x="150159" y="24127310"/>
          <a:ext cx="5943600" cy="959686"/>
        </a:xfrm>
        <a:prstGeom prst="rect">
          <a:avLst/>
        </a:prstGeom>
        <a:noFill/>
      </xdr:spPr>
      <xdr:txBody>
        <a:bodyPr wrap="square" lIns="0" tIns="0" rIns="0" bIns="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Navigation</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200" b="0" cap="none" spc="-1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Click on</a:t>
          </a:r>
          <a:r>
            <a:rPr lang="en-US" sz="1200" b="0" cap="none" spc="-1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 a page header to return to the Table of Contents. Click on a title in the Contents, </a:t>
          </a: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or on the page number, to go to that page header. Click on the up arrow to the left side of a page header to return to the previous page. Click on the down arrow you see on the right of a page header to go to the next page.</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32688</xdr:colOff>
      <xdr:row>25</xdr:row>
      <xdr:rowOff>22419</xdr:rowOff>
    </xdr:from>
    <xdr:to>
      <xdr:col>11</xdr:col>
      <xdr:colOff>215567</xdr:colOff>
      <xdr:row>25</xdr:row>
      <xdr:rowOff>250238</xdr:rowOff>
    </xdr:to>
    <xdr:grpSp>
      <xdr:nvGrpSpPr>
        <xdr:cNvPr id="724" name="Group 723">
          <a:extLst>
            <a:ext uri="{FF2B5EF4-FFF2-40B4-BE49-F238E27FC236}">
              <a16:creationId xmlns:a16="http://schemas.microsoft.com/office/drawing/2014/main" id="{00000000-0008-0000-0000-0000D4020000}"/>
            </a:ext>
          </a:extLst>
        </xdr:cNvPr>
        <xdr:cNvGrpSpPr/>
      </xdr:nvGrpSpPr>
      <xdr:grpSpPr>
        <a:xfrm>
          <a:off x="5176188" y="9372159"/>
          <a:ext cx="182879" cy="227819"/>
          <a:chOff x="6465897" y="135471422"/>
          <a:chExt cx="183413" cy="222633"/>
        </a:xfrm>
      </xdr:grpSpPr>
      <xdr:sp macro="" textlink="">
        <xdr:nvSpPr>
          <xdr:cNvPr id="725" name="Rectangle: Rounded Corners 724">
            <a:extLst>
              <a:ext uri="{FF2B5EF4-FFF2-40B4-BE49-F238E27FC236}">
                <a16:creationId xmlns:a16="http://schemas.microsoft.com/office/drawing/2014/main" id="{00000000-0008-0000-0000-0000D5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26" name="Rectangle 725">
            <a:extLst>
              <a:ext uri="{FF2B5EF4-FFF2-40B4-BE49-F238E27FC236}">
                <a16:creationId xmlns:a16="http://schemas.microsoft.com/office/drawing/2014/main" id="{00000000-0008-0000-0000-0000D6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29</xdr:row>
      <xdr:rowOff>24677</xdr:rowOff>
    </xdr:from>
    <xdr:to>
      <xdr:col>11</xdr:col>
      <xdr:colOff>215567</xdr:colOff>
      <xdr:row>29</xdr:row>
      <xdr:rowOff>252496</xdr:rowOff>
    </xdr:to>
    <xdr:grpSp>
      <xdr:nvGrpSpPr>
        <xdr:cNvPr id="730" name="Group 729">
          <a:extLst>
            <a:ext uri="{FF2B5EF4-FFF2-40B4-BE49-F238E27FC236}">
              <a16:creationId xmlns:a16="http://schemas.microsoft.com/office/drawing/2014/main" id="{00000000-0008-0000-0000-0000DA020000}"/>
            </a:ext>
          </a:extLst>
        </xdr:cNvPr>
        <xdr:cNvGrpSpPr/>
      </xdr:nvGrpSpPr>
      <xdr:grpSpPr>
        <a:xfrm>
          <a:off x="5176188" y="10441217"/>
          <a:ext cx="182879" cy="227819"/>
          <a:chOff x="6465897" y="135471422"/>
          <a:chExt cx="183413" cy="222633"/>
        </a:xfrm>
      </xdr:grpSpPr>
      <xdr:sp macro="" textlink="">
        <xdr:nvSpPr>
          <xdr:cNvPr id="731" name="Rectangle: Rounded Corners 730">
            <a:extLst>
              <a:ext uri="{FF2B5EF4-FFF2-40B4-BE49-F238E27FC236}">
                <a16:creationId xmlns:a16="http://schemas.microsoft.com/office/drawing/2014/main" id="{00000000-0008-0000-0000-0000DB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32" name="Rectangle 731">
            <a:extLst>
              <a:ext uri="{FF2B5EF4-FFF2-40B4-BE49-F238E27FC236}">
                <a16:creationId xmlns:a16="http://schemas.microsoft.com/office/drawing/2014/main" id="{00000000-0008-0000-0000-0000DC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30</xdr:row>
      <xdr:rowOff>16908</xdr:rowOff>
    </xdr:from>
    <xdr:to>
      <xdr:col>11</xdr:col>
      <xdr:colOff>215567</xdr:colOff>
      <xdr:row>30</xdr:row>
      <xdr:rowOff>244727</xdr:rowOff>
    </xdr:to>
    <xdr:grpSp>
      <xdr:nvGrpSpPr>
        <xdr:cNvPr id="733" name="Group 732">
          <a:extLst>
            <a:ext uri="{FF2B5EF4-FFF2-40B4-BE49-F238E27FC236}">
              <a16:creationId xmlns:a16="http://schemas.microsoft.com/office/drawing/2014/main" id="{00000000-0008-0000-0000-0000DD020000}"/>
            </a:ext>
          </a:extLst>
        </xdr:cNvPr>
        <xdr:cNvGrpSpPr/>
      </xdr:nvGrpSpPr>
      <xdr:grpSpPr>
        <a:xfrm>
          <a:off x="5176188" y="10700148"/>
          <a:ext cx="182879" cy="227819"/>
          <a:chOff x="6465897" y="135471422"/>
          <a:chExt cx="183413" cy="222633"/>
        </a:xfrm>
      </xdr:grpSpPr>
      <xdr:sp macro="" textlink="">
        <xdr:nvSpPr>
          <xdr:cNvPr id="734" name="Rectangle: Rounded Corners 733">
            <a:extLst>
              <a:ext uri="{FF2B5EF4-FFF2-40B4-BE49-F238E27FC236}">
                <a16:creationId xmlns:a16="http://schemas.microsoft.com/office/drawing/2014/main" id="{00000000-0008-0000-0000-0000DE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35" name="Rectangle 734">
            <a:extLst>
              <a:ext uri="{FF2B5EF4-FFF2-40B4-BE49-F238E27FC236}">
                <a16:creationId xmlns:a16="http://schemas.microsoft.com/office/drawing/2014/main" id="{00000000-0008-0000-0000-0000DF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29882</xdr:colOff>
      <xdr:row>533</xdr:row>
      <xdr:rowOff>44823</xdr:rowOff>
    </xdr:from>
    <xdr:to>
      <xdr:col>12</xdr:col>
      <xdr:colOff>471469</xdr:colOff>
      <xdr:row>542</xdr:row>
      <xdr:rowOff>227703</xdr:rowOff>
    </xdr:to>
    <xdr:sp macro="" textlink="">
      <xdr:nvSpPr>
        <xdr:cNvPr id="741" name="TextBox 390">
          <a:extLst>
            <a:ext uri="{FF2B5EF4-FFF2-40B4-BE49-F238E27FC236}">
              <a16:creationId xmlns:a16="http://schemas.microsoft.com/office/drawing/2014/main" id="{00000000-0008-0000-0000-0000E5020000}"/>
            </a:ext>
          </a:extLst>
        </xdr:cNvPr>
        <xdr:cNvSpPr txBox="1"/>
      </xdr:nvSpPr>
      <xdr:spPr>
        <a:xfrm>
          <a:off x="141941" y="128688352"/>
          <a:ext cx="5947410" cy="2468880"/>
        </a:xfrm>
        <a:prstGeom prst="rect">
          <a:avLst/>
        </a:prstGeom>
        <a:noFill/>
        <a:ln w="9525" cmpd="sng">
          <a:noFill/>
        </a:ln>
        <a:effectLst/>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4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Qualifying test</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Your journey starts when you qualify as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1.	You are given a political issue.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2.	You argue the position from both sides.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3.	You identify the affected needs on both sides.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4.	You suggest how both sides can help each other resolve those needs.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5.	You repeat this for two more issues we give you, plus one more issue you select yourself.</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6.	You submit this in writing and an uploaded video for us for review. Once it passes our review, your potential supporters view the video and try to identify your emotionally invested stance on each issue. If all agree and match your self-reported stance, you do not qualify. If we and your support prospects cannot nail down your specific political outlook on all the issues, you qualify.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7.	You are linked with a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guide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and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advocate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who</a:t>
          </a:r>
          <a:r>
            <a:rPr lang="en-US" sz="1100"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work together for your </a:t>
          </a:r>
          <a:r>
            <a:rPr lang="en-US" sz="1100" b="1" i="1"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campaign cause</a:t>
          </a:r>
          <a:r>
            <a:rPr lang="en-US" sz="1100"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clientData/>
  </xdr:twoCellAnchor>
  <xdr:twoCellAnchor>
    <xdr:from>
      <xdr:col>7</xdr:col>
      <xdr:colOff>37354</xdr:colOff>
      <xdr:row>533</xdr:row>
      <xdr:rowOff>104588</xdr:rowOff>
    </xdr:from>
    <xdr:to>
      <xdr:col>12</xdr:col>
      <xdr:colOff>410883</xdr:colOff>
      <xdr:row>535</xdr:row>
      <xdr:rowOff>53788</xdr:rowOff>
    </xdr:to>
    <xdr:sp macro="" textlink="">
      <xdr:nvSpPr>
        <xdr:cNvPr id="745" name="Rectangle: Rounded Corners 744">
          <a:extLst>
            <a:ext uri="{FF2B5EF4-FFF2-40B4-BE49-F238E27FC236}">
              <a16:creationId xmlns:a16="http://schemas.microsoft.com/office/drawing/2014/main" id="{00000000-0008-0000-0000-0000E9020000}"/>
            </a:ext>
          </a:extLst>
        </xdr:cNvPr>
        <xdr:cNvSpPr/>
      </xdr:nvSpPr>
      <xdr:spPr>
        <a:xfrm>
          <a:off x="3152589" y="128748117"/>
          <a:ext cx="2876176" cy="4572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a:solidFill>
                <a:srgbClr val="1E5A28"/>
              </a:solidFill>
              <a:latin typeface="Cambria" panose="02040503050406030204" pitchFamily="18" charset="0"/>
              <a:ea typeface="Cambria" panose="02040503050406030204" pitchFamily="18" charset="0"/>
            </a:rPr>
            <a:t>Guide</a:t>
          </a:r>
          <a:r>
            <a:rPr lang="en-US" sz="1100">
              <a:solidFill>
                <a:srgbClr val="1E5A28"/>
              </a:solidFill>
              <a:latin typeface="Cambria" panose="02040503050406030204" pitchFamily="18" charset="0"/>
              <a:ea typeface="Cambria" panose="02040503050406030204" pitchFamily="18" charset="0"/>
            </a:rPr>
            <a:t>: Monitors your internal development. Typically</a:t>
          </a:r>
          <a:r>
            <a:rPr lang="en-US" sz="1100" baseline="0">
              <a:solidFill>
                <a:srgbClr val="1E5A28"/>
              </a:solidFill>
              <a:latin typeface="Cambria" panose="02040503050406030204" pitchFamily="18" charset="0"/>
              <a:ea typeface="Cambria" panose="02040503050406030204" pitchFamily="18" charset="0"/>
            </a:rPr>
            <a:t> your personal counselor.</a:t>
          </a:r>
          <a:endParaRPr lang="en-US" sz="1100">
            <a:solidFill>
              <a:srgbClr val="1E5A28"/>
            </a:solidFill>
            <a:latin typeface="Cambria" panose="02040503050406030204" pitchFamily="18" charset="0"/>
            <a:ea typeface="Cambria" panose="02040503050406030204" pitchFamily="18" charset="0"/>
          </a:endParaRPr>
        </a:p>
      </xdr:txBody>
    </xdr:sp>
    <xdr:clientData/>
  </xdr:twoCellAnchor>
  <xdr:twoCellAnchor>
    <xdr:from>
      <xdr:col>7</xdr:col>
      <xdr:colOff>29883</xdr:colOff>
      <xdr:row>535</xdr:row>
      <xdr:rowOff>104588</xdr:rowOff>
    </xdr:from>
    <xdr:to>
      <xdr:col>12</xdr:col>
      <xdr:colOff>403412</xdr:colOff>
      <xdr:row>537</xdr:row>
      <xdr:rowOff>53788</xdr:rowOff>
    </xdr:to>
    <xdr:sp macro="" textlink="">
      <xdr:nvSpPr>
        <xdr:cNvPr id="747" name="Rectangle: Rounded Corners 746">
          <a:extLst>
            <a:ext uri="{FF2B5EF4-FFF2-40B4-BE49-F238E27FC236}">
              <a16:creationId xmlns:a16="http://schemas.microsoft.com/office/drawing/2014/main" id="{00000000-0008-0000-0000-0000EB020000}"/>
            </a:ext>
          </a:extLst>
        </xdr:cNvPr>
        <xdr:cNvSpPr/>
      </xdr:nvSpPr>
      <xdr:spPr>
        <a:xfrm>
          <a:off x="3145118" y="129256117"/>
          <a:ext cx="2876176" cy="4572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spc="-30" baseline="0">
              <a:solidFill>
                <a:srgbClr val="1E5A28"/>
              </a:solidFill>
              <a:latin typeface="Cambria" panose="02040503050406030204" pitchFamily="18" charset="0"/>
              <a:ea typeface="Cambria" panose="02040503050406030204" pitchFamily="18" charset="0"/>
            </a:rPr>
            <a:t>Advocate</a:t>
          </a:r>
          <a:r>
            <a:rPr lang="en-US" sz="1100" spc="-30" baseline="0">
              <a:solidFill>
                <a:srgbClr val="1E5A28"/>
              </a:solidFill>
              <a:latin typeface="Cambria" panose="02040503050406030204" pitchFamily="18" charset="0"/>
              <a:ea typeface="Cambria" panose="02040503050406030204" pitchFamily="18" charset="0"/>
            </a:rPr>
            <a:t>: Monitors your external development</a:t>
          </a:r>
          <a:r>
            <a:rPr lang="en-US" sz="1100">
              <a:solidFill>
                <a:srgbClr val="1E5A28"/>
              </a:solidFill>
              <a:latin typeface="Cambria" panose="02040503050406030204" pitchFamily="18" charset="0"/>
              <a:ea typeface="Cambria" panose="02040503050406030204" pitchFamily="18" charset="0"/>
            </a:rPr>
            <a:t>. Provided</a:t>
          </a:r>
          <a:r>
            <a:rPr lang="en-US" sz="1100" baseline="0">
              <a:solidFill>
                <a:srgbClr val="1E5A28"/>
              </a:solidFill>
              <a:latin typeface="Cambria" panose="02040503050406030204" pitchFamily="18" charset="0"/>
              <a:ea typeface="Cambria" panose="02040503050406030204" pitchFamily="18" charset="0"/>
            </a:rPr>
            <a:t> by Value Relating.</a:t>
          </a:r>
          <a:endParaRPr lang="en-US" sz="1100">
            <a:solidFill>
              <a:srgbClr val="1E5A28"/>
            </a:solidFill>
            <a:latin typeface="Cambria" panose="02040503050406030204" pitchFamily="18" charset="0"/>
            <a:ea typeface="Cambria" panose="02040503050406030204" pitchFamily="18" charset="0"/>
          </a:endParaRPr>
        </a:p>
      </xdr:txBody>
    </xdr:sp>
    <xdr:clientData/>
  </xdr:twoCellAnchor>
  <xdr:twoCellAnchor>
    <xdr:from>
      <xdr:col>1</xdr:col>
      <xdr:colOff>32870</xdr:colOff>
      <xdr:row>544</xdr:row>
      <xdr:rowOff>47812</xdr:rowOff>
    </xdr:from>
    <xdr:to>
      <xdr:col>12</xdr:col>
      <xdr:colOff>470647</xdr:colOff>
      <xdr:row>545</xdr:row>
      <xdr:rowOff>22412</xdr:rowOff>
    </xdr:to>
    <xdr:sp macro="" textlink="">
      <xdr:nvSpPr>
        <xdr:cNvPr id="748" name="Rectangle: Rounded Corners 747">
          <a:extLst>
            <a:ext uri="{FF2B5EF4-FFF2-40B4-BE49-F238E27FC236}">
              <a16:creationId xmlns:a16="http://schemas.microsoft.com/office/drawing/2014/main" id="{00000000-0008-0000-0000-0000EC020000}"/>
            </a:ext>
          </a:extLst>
        </xdr:cNvPr>
        <xdr:cNvSpPr/>
      </xdr:nvSpPr>
      <xdr:spPr>
        <a:xfrm>
          <a:off x="144929" y="131485341"/>
          <a:ext cx="5943600" cy="2286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i="1" spc="-10" baseline="0">
              <a:solidFill>
                <a:srgbClr val="1E5A28"/>
              </a:solidFill>
              <a:latin typeface="Cambria" panose="02040503050406030204" pitchFamily="18" charset="0"/>
              <a:ea typeface="Cambria" panose="02040503050406030204" pitchFamily="18" charset="0"/>
            </a:rPr>
            <a:t>Cause</a:t>
          </a:r>
          <a:r>
            <a:rPr lang="en-US" sz="1100" spc="-10" baseline="0">
              <a:solidFill>
                <a:srgbClr val="1E5A28"/>
              </a:solidFill>
              <a:latin typeface="Cambria" panose="02040503050406030204" pitchFamily="18" charset="0"/>
              <a:ea typeface="Cambria" panose="02040503050406030204" pitchFamily="18" charset="0"/>
            </a:rPr>
            <a:t>: Your passionate commitment to resolve a politicized need, with or without other's support.</a:t>
          </a:r>
        </a:p>
      </xdr:txBody>
    </xdr:sp>
    <xdr:clientData/>
  </xdr:twoCellAnchor>
  <xdr:twoCellAnchor>
    <xdr:from>
      <xdr:col>1</xdr:col>
      <xdr:colOff>32870</xdr:colOff>
      <xdr:row>543</xdr:row>
      <xdr:rowOff>17929</xdr:rowOff>
    </xdr:from>
    <xdr:to>
      <xdr:col>12</xdr:col>
      <xdr:colOff>470647</xdr:colOff>
      <xdr:row>543</xdr:row>
      <xdr:rowOff>246529</xdr:rowOff>
    </xdr:to>
    <xdr:sp macro="" textlink="">
      <xdr:nvSpPr>
        <xdr:cNvPr id="751" name="Rectangle: Rounded Corners 750">
          <a:extLst>
            <a:ext uri="{FF2B5EF4-FFF2-40B4-BE49-F238E27FC236}">
              <a16:creationId xmlns:a16="http://schemas.microsoft.com/office/drawing/2014/main" id="{00000000-0008-0000-0000-0000EF020000}"/>
            </a:ext>
          </a:extLst>
        </xdr:cNvPr>
        <xdr:cNvSpPr/>
      </xdr:nvSpPr>
      <xdr:spPr>
        <a:xfrm>
          <a:off x="144929" y="131201458"/>
          <a:ext cx="5943600" cy="2286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i="1" spc="-10" baseline="0">
              <a:solidFill>
                <a:srgbClr val="1E5A28"/>
              </a:solidFill>
              <a:latin typeface="Cambria" panose="02040503050406030204" pitchFamily="18" charset="0"/>
              <a:ea typeface="Cambria" panose="02040503050406030204" pitchFamily="18" charset="0"/>
            </a:rPr>
            <a:t>Campaign</a:t>
          </a:r>
          <a:r>
            <a:rPr lang="en-US" sz="1100" spc="-10" baseline="0">
              <a:solidFill>
                <a:srgbClr val="1E5A28"/>
              </a:solidFill>
              <a:latin typeface="Cambria" panose="02040503050406030204" pitchFamily="18" charset="0"/>
              <a:ea typeface="Cambria" panose="02040503050406030204" pitchFamily="18" charset="0"/>
            </a:rPr>
            <a:t>: Your supported effort to speak truth to political power to address a politicized need. </a:t>
          </a:r>
        </a:p>
      </xdr:txBody>
    </xdr:sp>
    <xdr:clientData/>
  </xdr:twoCellAnchor>
  <xdr:twoCellAnchor>
    <xdr:from>
      <xdr:col>1</xdr:col>
      <xdr:colOff>25398</xdr:colOff>
      <xdr:row>545</xdr:row>
      <xdr:rowOff>209174</xdr:rowOff>
    </xdr:from>
    <xdr:to>
      <xdr:col>12</xdr:col>
      <xdr:colOff>463175</xdr:colOff>
      <xdr:row>548</xdr:row>
      <xdr:rowOff>194235</xdr:rowOff>
    </xdr:to>
    <xdr:sp macro="" textlink="">
      <xdr:nvSpPr>
        <xdr:cNvPr id="752" name="TextBox 106">
          <a:extLst>
            <a:ext uri="{FF2B5EF4-FFF2-40B4-BE49-F238E27FC236}">
              <a16:creationId xmlns:a16="http://schemas.microsoft.com/office/drawing/2014/main" id="{00000000-0008-0000-0000-0000F0020000}"/>
            </a:ext>
          </a:extLst>
        </xdr:cNvPr>
        <xdr:cNvSpPr txBox="1"/>
      </xdr:nvSpPr>
      <xdr:spPr>
        <a:xfrm>
          <a:off x="137457" y="131900703"/>
          <a:ext cx="5943600" cy="7470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a:effectLst/>
              <a:latin typeface="Cambria Math" panose="02040503050406030204" pitchFamily="18" charset="0"/>
              <a:ea typeface="Calibri" panose="020F0502020204030204" pitchFamily="34" charset="0"/>
              <a:cs typeface="Times New Roman" panose="02020603050405020304" pitchFamily="18" charset="0"/>
            </a:rPr>
            <a:t>Before launching your campaign</a:t>
          </a:r>
          <a:r>
            <a:rPr lang="en-US" sz="1200" baseline="0">
              <a:effectLst/>
              <a:latin typeface="Cambria Math" panose="02040503050406030204" pitchFamily="18" charset="0"/>
              <a:ea typeface="Calibri" panose="020F0502020204030204" pitchFamily="34" charset="0"/>
              <a:cs typeface="Times New Roman" panose="02020603050405020304" pitchFamily="18" charset="0"/>
            </a:rPr>
            <a:t>, we assess your initial level of anxiety and other levels of wellness. We compare these measures to see if the process improves your wellness or not. Select from the items below to estimate you readiness. It gives you a ballpark figure, and does not qualify or disqualify you for this journey ahead.</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clientData/>
  </xdr:twoCellAnchor>
  <xdr:twoCellAnchor>
    <xdr:from>
      <xdr:col>1</xdr:col>
      <xdr:colOff>29883</xdr:colOff>
      <xdr:row>563</xdr:row>
      <xdr:rowOff>59764</xdr:rowOff>
    </xdr:from>
    <xdr:to>
      <xdr:col>12</xdr:col>
      <xdr:colOff>467660</xdr:colOff>
      <xdr:row>566</xdr:row>
      <xdr:rowOff>75004</xdr:rowOff>
    </xdr:to>
    <xdr:sp macro="" textlink="">
      <xdr:nvSpPr>
        <xdr:cNvPr id="791" name="TextBox 106">
          <a:extLst>
            <a:ext uri="{FF2B5EF4-FFF2-40B4-BE49-F238E27FC236}">
              <a16:creationId xmlns:a16="http://schemas.microsoft.com/office/drawing/2014/main" id="{00000000-0008-0000-0000-000017030000}"/>
            </a:ext>
          </a:extLst>
        </xdr:cNvPr>
        <xdr:cNvSpPr txBox="1"/>
      </xdr:nvSpPr>
      <xdr:spPr>
        <a:xfrm>
          <a:off x="141942" y="135217646"/>
          <a:ext cx="594360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A higher readiness score portends a successful journey, but does not guarantee a postive outcome. A lower score may provide a strong comparison if this journey can boost that score. In another words, you may find yourself better prepared after you have tasted the fruits of this process. And that could inspire others to support your </a:t>
          </a:r>
          <a:r>
            <a:rPr lang="en-US" sz="1200" b="1" i="1" baseline="0">
              <a:effectLst/>
              <a:latin typeface="Cambria" panose="02040503050406030204" pitchFamily="18" charset="0"/>
              <a:ea typeface="Cambria" panose="02040503050406030204" pitchFamily="18" charset="0"/>
              <a:cs typeface="Times New Roman" panose="02020603050405020304" pitchFamily="18" charset="0"/>
            </a:rPr>
            <a:t>campaign cause</a:t>
          </a:r>
          <a:r>
            <a:rPr lang="en-US" sz="1200" baseline="0">
              <a:effectLst/>
              <a:latin typeface="Cambria" panose="02040503050406030204" pitchFamily="18" charset="0"/>
              <a:ea typeface="Cambria" panose="02040503050406030204" pitchFamily="18" charset="0"/>
              <a:cs typeface="Times New Roman" panose="02020603050405020304" pitchFamily="18" charset="0"/>
            </a:rPr>
            <a:t>.</a:t>
          </a:r>
        </a:p>
      </xdr:txBody>
    </xdr:sp>
    <xdr:clientData/>
  </xdr:twoCellAnchor>
  <xdr:twoCellAnchor>
    <xdr:from>
      <xdr:col>15</xdr:col>
      <xdr:colOff>50052</xdr:colOff>
      <xdr:row>556</xdr:row>
      <xdr:rowOff>52892</xdr:rowOff>
    </xdr:from>
    <xdr:to>
      <xdr:col>26</xdr:col>
      <xdr:colOff>490219</xdr:colOff>
      <xdr:row>566</xdr:row>
      <xdr:rowOff>75305</xdr:rowOff>
    </xdr:to>
    <xdr:sp macro="" textlink="">
      <xdr:nvSpPr>
        <xdr:cNvPr id="792" name="TextBox 106">
          <a:extLst>
            <a:ext uri="{FF2B5EF4-FFF2-40B4-BE49-F238E27FC236}">
              <a16:creationId xmlns:a16="http://schemas.microsoft.com/office/drawing/2014/main" id="{00000000-0008-0000-0000-000018030000}"/>
            </a:ext>
          </a:extLst>
        </xdr:cNvPr>
        <xdr:cNvSpPr txBox="1"/>
      </xdr:nvSpPr>
      <xdr:spPr>
        <a:xfrm>
          <a:off x="6427992" y="132922832"/>
          <a:ext cx="5972287" cy="221697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a:effectLst/>
              <a:latin typeface="Arial Narrow" panose="020B0606020202030204" pitchFamily="34" charset="0"/>
              <a:ea typeface="Calibri" panose="020F0502020204030204" pitchFamily="34" charset="0"/>
              <a:cs typeface="Times New Roman" panose="02020603050405020304" pitchFamily="18" charset="0"/>
            </a:rPr>
            <a:t>Your responses suggest [$U$1336]. This is based on an average</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 score between -1 and 1, and your responses put you at [$U$1337]. </a:t>
          </a:r>
          <a:r>
            <a:rPr lang="en-US" sz="1200">
              <a:effectLst/>
              <a:latin typeface="Arial Narrow" panose="020B0606020202030204" pitchFamily="34" charset="0"/>
              <a:ea typeface="Calibri" panose="020F0502020204030204" pitchFamily="34" charset="0"/>
              <a:cs typeface="Times New Roman" panose="02020603050405020304" pitchFamily="18" charset="0"/>
            </a:rPr>
            <a:t>Other qualifications</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 may apply, and these could raise or lower your readiness score. </a:t>
          </a:r>
        </a:p>
        <a:p>
          <a:pPr marL="0" marR="0">
            <a:spcBef>
              <a:spcPts val="0"/>
            </a:spcBef>
            <a:spcAft>
              <a:spcPts val="0"/>
            </a:spcAft>
          </a:pPr>
          <a:endParaRPr lang="en-US" sz="1200" baseline="0">
            <a:effectLst/>
            <a:latin typeface="Arial Narrow" panose="020B0606020202030204" pitchFamily="34" charset="0"/>
            <a:ea typeface="Calibri" panose="020F0502020204030204" pitchFamily="34" charset="0"/>
            <a:cs typeface="Times New Roman" panose="02020603050405020304" pitchFamily="18" charset="0"/>
          </a:endParaRPr>
        </a:p>
        <a:p>
          <a:pPr marL="0" marR="0">
            <a:spcBef>
              <a:spcPts val="0"/>
            </a:spcBef>
            <a:spcAft>
              <a:spcPts val="0"/>
            </a:spcAft>
          </a:pPr>
          <a:r>
            <a:rPr lang="en-US" sz="1200" baseline="0">
              <a:solidFill>
                <a:srgbClr val="780091"/>
              </a:solidFill>
              <a:effectLst/>
              <a:latin typeface="Arial Narrow" panose="020B0606020202030204" pitchFamily="34" charset="0"/>
              <a:ea typeface="Calibri" panose="020F0502020204030204" pitchFamily="34" charset="0"/>
              <a:cs typeface="Times New Roman" panose="02020603050405020304" pitchFamily="18" charset="0"/>
            </a:rPr>
            <a:t>Select the best response to these five items to estimate your readiness for this journey. A low score is not necessarily a bad score. Power relations crashing in on your life could dampen your full readiness. But that's what this journey is for.</a:t>
          </a:r>
        </a:p>
        <a:p>
          <a:pPr marL="0" marR="0">
            <a:spcBef>
              <a:spcPts val="0"/>
            </a:spcBef>
            <a:spcAft>
              <a:spcPts val="0"/>
            </a:spcAft>
          </a:pPr>
          <a:endParaRPr lang="en-US" sz="1100" baseline="0">
            <a:effectLst/>
            <a:latin typeface="Arial Narrow" panose="020B0606020202030204" pitchFamily="34" charset="0"/>
            <a:ea typeface="Calibri" panose="020F0502020204030204" pitchFamily="34" charset="0"/>
            <a:cs typeface="Times New Roman" panose="02020603050405020304" pitchFamily="18" charset="0"/>
          </a:endParaRPr>
        </a:p>
        <a:p>
          <a:pPr marL="0" marR="0">
            <a:spcBef>
              <a:spcPts val="0"/>
            </a:spcBef>
            <a:spcAft>
              <a:spcPts val="0"/>
            </a:spcAft>
          </a:pP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A higher readiness score portends a successful journey, but does not guarantee a postive outcome. A lower score may provide a strong comparison if this journey can boost that score. In another words, you may find yourself better prepared after you have tasted the fruits of this process. And that could inspire others to support your </a:t>
          </a:r>
          <a:r>
            <a:rPr lang="en-US" sz="1200" b="1" i="1" baseline="0">
              <a:effectLst/>
              <a:latin typeface="Arial Narrow" panose="020B0606020202030204" pitchFamily="34" charset="0"/>
              <a:ea typeface="Calibri" panose="020F0502020204030204" pitchFamily="34" charset="0"/>
              <a:cs typeface="Times New Roman" panose="02020603050405020304" pitchFamily="18" charset="0"/>
            </a:rPr>
            <a:t>campaign cause</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a:t>
          </a:r>
        </a:p>
      </xdr:txBody>
    </xdr:sp>
    <xdr:clientData/>
  </xdr:twoCellAnchor>
  <xdr:twoCellAnchor>
    <xdr:from>
      <xdr:col>1</xdr:col>
      <xdr:colOff>23309</xdr:colOff>
      <xdr:row>570</xdr:row>
      <xdr:rowOff>129987</xdr:rowOff>
    </xdr:from>
    <xdr:to>
      <xdr:col>12</xdr:col>
      <xdr:colOff>461086</xdr:colOff>
      <xdr:row>580</xdr:row>
      <xdr:rowOff>186765</xdr:rowOff>
    </xdr:to>
    <xdr:sp macro="" textlink="">
      <xdr:nvSpPr>
        <xdr:cNvPr id="793" name="TextBox 792">
          <a:extLst>
            <a:ext uri="{FF2B5EF4-FFF2-40B4-BE49-F238E27FC236}">
              <a16:creationId xmlns:a16="http://schemas.microsoft.com/office/drawing/2014/main" id="{00000000-0008-0000-0000-000019030000}"/>
            </a:ext>
          </a:extLst>
        </xdr:cNvPr>
        <xdr:cNvSpPr txBox="1"/>
      </xdr:nvSpPr>
      <xdr:spPr>
        <a:xfrm>
          <a:off x="135368" y="136998634"/>
          <a:ext cx="5943600" cy="25967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latin typeface="Cambria" panose="02040503050406030204" pitchFamily="18" charset="0"/>
              <a:ea typeface="Cambria" panose="02040503050406030204" pitchFamily="18" charset="0"/>
            </a:rPr>
            <a:t>You build your support team one engaging member at a time. You onboard them at their level of readiness to support you. You can always inspire them to increase their support level further into the journey.</a:t>
          </a:r>
        </a:p>
        <a:p>
          <a:endParaRPr lang="en-US" sz="1200" baseline="0">
            <a:latin typeface="Cambria" panose="02040503050406030204" pitchFamily="18" charset="0"/>
            <a:ea typeface="Cambria" panose="02040503050406030204" pitchFamily="18" charset="0"/>
          </a:endParaRPr>
        </a:p>
        <a:p>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Follower</a:t>
          </a:r>
        </a:p>
        <a:p>
          <a:r>
            <a:rPr lang="en-US" sz="1200" baseline="0">
              <a:latin typeface="Cambria" panose="02040503050406030204" pitchFamily="18" charset="0"/>
              <a:ea typeface="Cambria" panose="02040503050406030204" pitchFamily="18" charset="0"/>
            </a:rPr>
            <a:t>After crafting a list of likely supporters, invite each to "follow" your campaign. Without charge, they receive your regular progress reports. You invite their helpful feedback. You integrate their input. They coauthor your living narrative of love-based political change. Each report ends with a teaser to entice them into becoming your </a:t>
          </a:r>
          <a:r>
            <a:rPr lang="en-US" sz="1200" b="1" baseline="0">
              <a:latin typeface="Cambria" panose="02040503050406030204" pitchFamily="18" charset="0"/>
              <a:ea typeface="Cambria" panose="02040503050406030204" pitchFamily="18" charset="0"/>
            </a:rPr>
            <a:t>supporter</a:t>
          </a:r>
          <a:r>
            <a:rPr lang="en-US" sz="1200" baseline="0">
              <a:latin typeface="Cambria" panose="02040503050406030204" pitchFamily="18" charset="0"/>
              <a:ea typeface="Cambria" panose="02040503050406030204" pitchFamily="18" charset="0"/>
            </a:rPr>
            <a:t>.</a:t>
          </a:r>
        </a:p>
        <a:p>
          <a:endParaRPr lang="en-US" sz="1200" baseline="0">
            <a:latin typeface="Cambria" panose="02040503050406030204" pitchFamily="18" charset="0"/>
            <a:ea typeface="Cambria" panose="02040503050406030204" pitchFamily="18" charset="0"/>
          </a:endParaRPr>
        </a:p>
        <a:p>
          <a:pPr marL="0" indent="0"/>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Supporter</a:t>
          </a:r>
        </a:p>
        <a:p>
          <a:r>
            <a:rPr lang="en-US" sz="1200" baseline="0">
              <a:latin typeface="Cambria" panose="02040503050406030204" pitchFamily="18" charset="0"/>
              <a:ea typeface="Cambria" panose="02040503050406030204" pitchFamily="18" charset="0"/>
            </a:rPr>
            <a:t>At this level, your supporters keep in constant contact with you. They actively support you. They match your weekly payment, to share the costs of this journey and to share in some of its benefits. They get to live the narrative of love-based political change along with you.</a:t>
          </a:r>
        </a:p>
      </xdr:txBody>
    </xdr:sp>
    <xdr:clientData/>
  </xdr:twoCellAnchor>
  <xdr:twoCellAnchor>
    <xdr:from>
      <xdr:col>1</xdr:col>
      <xdr:colOff>22412</xdr:colOff>
      <xdr:row>592</xdr:row>
      <xdr:rowOff>209177</xdr:rowOff>
    </xdr:from>
    <xdr:to>
      <xdr:col>12</xdr:col>
      <xdr:colOff>433892</xdr:colOff>
      <xdr:row>599</xdr:row>
      <xdr:rowOff>122817</xdr:rowOff>
    </xdr:to>
    <xdr:sp macro="" textlink="">
      <xdr:nvSpPr>
        <xdr:cNvPr id="796" name="TextBox 795">
          <a:extLst>
            <a:ext uri="{FF2B5EF4-FFF2-40B4-BE49-F238E27FC236}">
              <a16:creationId xmlns:a16="http://schemas.microsoft.com/office/drawing/2014/main" id="{00000000-0008-0000-0000-00001C030000}"/>
            </a:ext>
          </a:extLst>
        </xdr:cNvPr>
        <xdr:cNvSpPr txBox="1"/>
      </xdr:nvSpPr>
      <xdr:spPr>
        <a:xfrm>
          <a:off x="134471" y="142665824"/>
          <a:ext cx="5917303" cy="1691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Revolutionary revenue model</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Unlike counseling, mediation, arbitration, other such services, you do not bear the costs of creating this value. Impactors who typically have greater resources from their advantaged positions have more to gain from your mutual need-resolving cause. We incentivize them to invest in your campaign, and compete with each other for the privilege.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Your supporters vouch for you as a worthy investment. You prime the pump with that first ten dollar commitment. Each supporter matches that amount. The more supporters you line up for a weekly amount, the higher the price for patrons to later join your campaign.</a:t>
          </a:r>
        </a:p>
      </xdr:txBody>
    </xdr:sp>
    <xdr:clientData/>
  </xdr:twoCellAnchor>
  <xdr:twoCellAnchor>
    <xdr:from>
      <xdr:col>1</xdr:col>
      <xdr:colOff>22412</xdr:colOff>
      <xdr:row>603</xdr:row>
      <xdr:rowOff>74703</xdr:rowOff>
    </xdr:from>
    <xdr:to>
      <xdr:col>12</xdr:col>
      <xdr:colOff>433892</xdr:colOff>
      <xdr:row>627</xdr:row>
      <xdr:rowOff>194235</xdr:rowOff>
    </xdr:to>
    <xdr:sp macro="" textlink="">
      <xdr:nvSpPr>
        <xdr:cNvPr id="800" name="TextBox 799">
          <a:extLst>
            <a:ext uri="{FF2B5EF4-FFF2-40B4-BE49-F238E27FC236}">
              <a16:creationId xmlns:a16="http://schemas.microsoft.com/office/drawing/2014/main" id="{00000000-0008-0000-0000-000020030000}"/>
            </a:ext>
          </a:extLst>
        </xdr:cNvPr>
        <xdr:cNvSpPr txBox="1"/>
      </xdr:nvSpPr>
      <xdr:spPr>
        <a:xfrm>
          <a:off x="134471" y="145183409"/>
          <a:ext cx="5917303" cy="62155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Impactors invest your cause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As your campaign builds momentum with an increasing weekly support amount, you reach </a:t>
          </a:r>
          <a:r>
            <a:rPr lang="en-US" sz="1200" spc="0" baseline="0">
              <a:solidFill>
                <a:schemeClr val="dk1"/>
              </a:solidFill>
              <a:latin typeface="Cambria" panose="02040503050406030204" pitchFamily="18" charset="0"/>
              <a:ea typeface="Cambria" panose="02040503050406030204" pitchFamily="18" charset="0"/>
              <a:cs typeface="+mn-cs"/>
            </a:rPr>
            <a:t>out to your first tier of Impactors</a:t>
          </a:r>
          <a:r>
            <a:rPr lang="en-US" sz="1200" spc="-10" baseline="0">
              <a:solidFill>
                <a:schemeClr val="dk1"/>
              </a:solidFill>
              <a:latin typeface="Cambria" panose="02040503050406030204" pitchFamily="18" charset="0"/>
              <a:ea typeface="Cambria" panose="02040503050406030204" pitchFamily="18" charset="0"/>
              <a:cs typeface="+mn-cs"/>
            </a:rPr>
            <a:t>. These become your </a:t>
          </a:r>
          <a:r>
            <a:rPr lang="en-US" sz="1200" b="1" spc="-10" baseline="0">
              <a:solidFill>
                <a:schemeClr val="dk1"/>
              </a:solidFill>
              <a:latin typeface="Cambria" panose="02040503050406030204" pitchFamily="18" charset="0"/>
              <a:ea typeface="Cambria" panose="02040503050406030204" pitchFamily="18" charset="0"/>
              <a:cs typeface="+mn-cs"/>
            </a:rPr>
            <a:t>cosponsors</a:t>
          </a:r>
          <a:r>
            <a:rPr lang="en-US" sz="1200" spc="-10" baseline="0">
              <a:solidFill>
                <a:schemeClr val="dk1"/>
              </a:solidFill>
              <a:latin typeface="Cambria" panose="02040503050406030204" pitchFamily="18" charset="0"/>
              <a:ea typeface="Cambria" panose="02040503050406030204" pitchFamily="18" charset="0"/>
              <a:cs typeface="+mn-cs"/>
            </a:rPr>
            <a:t>. You list anyone with the </a:t>
          </a:r>
          <a:r>
            <a:rPr lang="en-US" sz="1200" baseline="0">
              <a:solidFill>
                <a:schemeClr val="dk1"/>
              </a:solidFill>
              <a:latin typeface="Cambria" panose="02040503050406030204" pitchFamily="18" charset="0"/>
              <a:ea typeface="Cambria" panose="02040503050406030204" pitchFamily="18" charset="0"/>
              <a:cs typeface="+mn-cs"/>
            </a:rPr>
            <a:t>resources to support your cause, and who can significantly impact the desired results.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Just as your supporters, you give them the option to "follow" your campaign. You invite them to get to know you and your team. You tease their interest with your latest progress reports. You give them the sense of missing out on this revolutionary new way to resolve politicized needs. By the time you invite them, it becomes awkward for them to say </a:t>
          </a:r>
          <a:r>
            <a:rPr lang="en-US" sz="1200" i="1" baseline="0">
              <a:solidFill>
                <a:schemeClr val="dk1"/>
              </a:solidFill>
              <a:latin typeface="Cambria" panose="02040503050406030204" pitchFamily="18" charset="0"/>
              <a:ea typeface="Cambria" panose="02040503050406030204" pitchFamily="18" charset="0"/>
              <a:cs typeface="+mn-cs"/>
            </a:rPr>
            <a:t>no</a:t>
          </a:r>
          <a:r>
            <a:rPr lang="en-US" sz="1200" baseline="0">
              <a:solidFill>
                <a:schemeClr val="dk1"/>
              </a:solidFill>
              <a:latin typeface="Cambria" panose="02040503050406030204" pitchFamily="18" charset="0"/>
              <a:ea typeface="Cambria" panose="02040503050406030204" pitchFamily="18" charset="0"/>
              <a:cs typeface="+mn-cs"/>
            </a:rPr>
            <a:t>.</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Base phase cosponsors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first onboard cosponsors during the </a:t>
          </a:r>
          <a:r>
            <a:rPr lang="en-US" sz="1200" b="1" baseline="0">
              <a:solidFill>
                <a:schemeClr val="dk1"/>
              </a:solidFill>
              <a:latin typeface="Cambria" panose="02040503050406030204" pitchFamily="18" charset="0"/>
              <a:ea typeface="Cambria" panose="02040503050406030204" pitchFamily="18" charset="0"/>
              <a:cs typeface="+mn-cs"/>
            </a:rPr>
            <a:t>base phase </a:t>
          </a:r>
          <a:r>
            <a:rPr lang="en-US" sz="1200" baseline="0">
              <a:solidFill>
                <a:schemeClr val="dk1"/>
              </a:solidFill>
              <a:latin typeface="Cambria" panose="02040503050406030204" pitchFamily="18" charset="0"/>
              <a:ea typeface="Cambria" panose="02040503050406030204" pitchFamily="18" charset="0"/>
              <a:cs typeface="+mn-cs"/>
            </a:rPr>
            <a:t>of your campaign. They serve as an governing board to your advisory team. Each consponsor in this first group joins your campaign at double the weekly amount you originally pledged. If ten dollars, they join in for twenty dollars. They add momentum to your campaign.</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Growth phase cosponsors</a:t>
          </a:r>
        </a:p>
        <a:p>
          <a:pPr marL="0" marR="0" lvl="0" indent="0" defTabSz="914400" eaLnBrk="1" fontAlgn="auto" latinLnBrk="0" hangingPunct="1">
            <a:lnSpc>
              <a:spcPct val="100000"/>
            </a:lnSpc>
            <a:spcBef>
              <a:spcPts val="600"/>
            </a:spcBef>
            <a:spcAft>
              <a:spcPts val="0"/>
            </a:spcAft>
            <a:buClrTx/>
            <a:buSzTx/>
            <a:buFontTx/>
            <a:buNone/>
            <a:tabLst/>
            <a:defRPr/>
          </a:pPr>
          <a:r>
            <a:rPr lang="en-US" sz="1200" spc="-20" baseline="0">
              <a:solidFill>
                <a:schemeClr val="dk1"/>
              </a:solidFill>
              <a:latin typeface="Cambria" panose="02040503050406030204" pitchFamily="18" charset="0"/>
              <a:ea typeface="Cambria" panose="02040503050406030204" pitchFamily="18" charset="0"/>
              <a:cs typeface="+mn-cs"/>
            </a:rPr>
            <a:t>After reaching agreed upon milestones to enter your campaign's </a:t>
          </a:r>
          <a:r>
            <a:rPr lang="en-US" sz="1200" b="1" spc="-20" baseline="0">
              <a:solidFill>
                <a:schemeClr val="dk1"/>
              </a:solidFill>
              <a:latin typeface="Cambria" panose="02040503050406030204" pitchFamily="18" charset="0"/>
              <a:ea typeface="Cambria" panose="02040503050406030204" pitchFamily="18" charset="0"/>
              <a:cs typeface="+mn-cs"/>
            </a:rPr>
            <a:t>growth phase</a:t>
          </a:r>
          <a:r>
            <a:rPr lang="en-US" sz="1200" spc="-20" baseline="0">
              <a:solidFill>
                <a:schemeClr val="dk1"/>
              </a:solidFill>
              <a:latin typeface="Cambria" panose="02040503050406030204" pitchFamily="18" charset="0"/>
              <a:ea typeface="Cambria" panose="02040503050406030204" pitchFamily="18" charset="0"/>
              <a:cs typeface="+mn-cs"/>
            </a:rPr>
            <a:t>, you onboard </a:t>
          </a:r>
          <a:r>
            <a:rPr lang="en-US" sz="1200" baseline="0">
              <a:solidFill>
                <a:schemeClr val="dk1"/>
              </a:solidFill>
              <a:latin typeface="Cambria" panose="02040503050406030204" pitchFamily="18" charset="0"/>
              <a:ea typeface="Cambria" panose="02040503050406030204" pitchFamily="18" charset="0"/>
              <a:cs typeface="+mn-cs"/>
            </a:rPr>
            <a:t>a second batch of consponsors. This second teir joins at double the earlier amount. If you are paying ten weekly, they pay forty. As your weekly amount climbs, you show potential patrons your competitive investment worth. Your campaign builds more momentum.</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Cause phase patrons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By </a:t>
          </a:r>
          <a:r>
            <a:rPr lang="en-US" sz="1200" spc="-10" baseline="0">
              <a:solidFill>
                <a:schemeClr val="dk1"/>
              </a:solidFill>
              <a:latin typeface="Cambria" panose="02040503050406030204" pitchFamily="18" charset="0"/>
              <a:ea typeface="Cambria" panose="02040503050406030204" pitchFamily="18" charset="0"/>
              <a:cs typeface="+mn-cs"/>
            </a:rPr>
            <a:t>the time you reach your campaign's </a:t>
          </a:r>
          <a:r>
            <a:rPr lang="en-US" sz="1200" b="1" spc="-10" baseline="0">
              <a:solidFill>
                <a:schemeClr val="dk1"/>
              </a:solidFill>
              <a:latin typeface="Cambria" panose="02040503050406030204" pitchFamily="18" charset="0"/>
              <a:ea typeface="Cambria" panose="02040503050406030204" pitchFamily="18" charset="0"/>
              <a:cs typeface="+mn-cs"/>
            </a:rPr>
            <a:t>cause phase</a:t>
          </a:r>
          <a:r>
            <a:rPr lang="en-US" sz="1200" spc="-10" baseline="0">
              <a:solidFill>
                <a:schemeClr val="dk1"/>
              </a:solidFill>
              <a:latin typeface="Cambria" panose="02040503050406030204" pitchFamily="18" charset="0"/>
              <a:ea typeface="Cambria" panose="02040503050406030204" pitchFamily="18" charset="0"/>
              <a:cs typeface="+mn-cs"/>
            </a:rPr>
            <a:t>, you are ready to onboard patrons </a:t>
          </a:r>
          <a:r>
            <a:rPr lang="en-US" sz="1200" baseline="0">
              <a:solidFill>
                <a:schemeClr val="dk1"/>
              </a:solidFill>
              <a:latin typeface="Cambria" panose="02040503050406030204" pitchFamily="18" charset="0"/>
              <a:ea typeface="Cambria" panose="02040503050406030204" pitchFamily="18" charset="0"/>
              <a:cs typeface="+mn-cs"/>
            </a:rPr>
            <a:t>with significant means to cover the costs of your ambitious cause. Your cause could grow far beyond this campaign. With a patron or patrons on board, you may get to the point of spurring a movement of love-based political change.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Patrons are likely high level professionals. They typically are directly involved in some way with the particular politicized need you are addressing. They also need your mutual-love approach to reach their political goals. They need you. </a:t>
          </a:r>
        </a:p>
        <a:p>
          <a:pPr marL="0" marR="0" lvl="0" indent="0" defTabSz="914400" eaLnBrk="1" fontAlgn="auto" latinLnBrk="0" hangingPunct="1">
            <a:lnSpc>
              <a:spcPct val="100000"/>
            </a:lnSpc>
            <a:spcBef>
              <a:spcPts val="600"/>
            </a:spcBef>
            <a:spcAft>
              <a:spcPts val="0"/>
            </a:spcAft>
            <a:buClrTx/>
            <a:buSzTx/>
            <a:buFontTx/>
            <a:buNone/>
            <a:tabLst/>
            <a:defRPr/>
          </a:pPr>
          <a:r>
            <a:rPr lang="en-US" sz="1200" spc="-10" baseline="0">
              <a:solidFill>
                <a:schemeClr val="dk1"/>
              </a:solidFill>
              <a:latin typeface="Cambria" panose="02040503050406030204" pitchFamily="18" charset="0"/>
              <a:ea typeface="Cambria" panose="02040503050406030204" pitchFamily="18" charset="0"/>
              <a:cs typeface="+mn-cs"/>
            </a:rPr>
            <a:t>If we play our cards right, they will pay handsomely for the privilege to invest in your cause. </a:t>
          </a:r>
          <a:r>
            <a:rPr lang="en-US" sz="1200" baseline="0">
              <a:solidFill>
                <a:schemeClr val="dk1"/>
              </a:solidFill>
              <a:latin typeface="Cambria" panose="02040503050406030204" pitchFamily="18" charset="0"/>
              <a:ea typeface="Cambria" panose="02040503050406030204" pitchFamily="18" charset="0"/>
              <a:cs typeface="+mn-cs"/>
            </a:rPr>
            <a:t>If you improve their lives along with your own, not to mention others similarly situated, shouldn't these beneficiaries become your benefactors? Assess each Impactor by these qualifying criteria. Start with those identified with a green arrow at the left.</a:t>
          </a:r>
        </a:p>
      </xdr:txBody>
    </xdr:sp>
    <xdr:clientData/>
  </xdr:twoCellAnchor>
  <xdr:twoCellAnchor>
    <xdr:from>
      <xdr:col>0</xdr:col>
      <xdr:colOff>89647</xdr:colOff>
      <xdr:row>468</xdr:row>
      <xdr:rowOff>246530</xdr:rowOff>
    </xdr:from>
    <xdr:to>
      <xdr:col>5</xdr:col>
      <xdr:colOff>490071</xdr:colOff>
      <xdr:row>470</xdr:row>
      <xdr:rowOff>134471</xdr:rowOff>
    </xdr:to>
    <xdr:sp macro="" textlink="">
      <xdr:nvSpPr>
        <xdr:cNvPr id="808" name="TextBox 807">
          <a:extLst>
            <a:ext uri="{FF2B5EF4-FFF2-40B4-BE49-F238E27FC236}">
              <a16:creationId xmlns:a16="http://schemas.microsoft.com/office/drawing/2014/main" id="{00000000-0008-0000-0000-000028030000}"/>
            </a:ext>
          </a:extLst>
        </xdr:cNvPr>
        <xdr:cNvSpPr txBox="1"/>
      </xdr:nvSpPr>
      <xdr:spPr>
        <a:xfrm>
          <a:off x="89647" y="112484648"/>
          <a:ext cx="2514600" cy="395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200">
              <a:ln>
                <a:noFill/>
              </a:ln>
              <a:solidFill>
                <a:srgbClr val="00823C"/>
              </a:solidFill>
              <a:effectLst>
                <a:glow rad="38100">
                  <a:schemeClr val="bg1"/>
                </a:glow>
              </a:effectLst>
              <a:latin typeface="Impact" panose="020B0806030902050204" pitchFamily="34" charset="0"/>
            </a:rPr>
            <a:t>IMPACTEE = You are impacted</a:t>
          </a:r>
          <a:r>
            <a:rPr lang="en-US" sz="1200" baseline="0">
              <a:ln>
                <a:noFill/>
              </a:ln>
              <a:solidFill>
                <a:srgbClr val="00823C"/>
              </a:solidFill>
              <a:effectLst>
                <a:glow rad="38100">
                  <a:schemeClr val="bg1"/>
                </a:glow>
              </a:effectLst>
              <a:latin typeface="Impact" panose="020B0806030902050204" pitchFamily="34" charset="0"/>
            </a:rPr>
            <a:t> by the relationship more than you impact it.</a:t>
          </a:r>
          <a:endParaRPr lang="en-US" sz="1200">
            <a:ln>
              <a:noFill/>
            </a:ln>
            <a:solidFill>
              <a:srgbClr val="00823C"/>
            </a:solidFill>
            <a:effectLst>
              <a:glow rad="38100">
                <a:schemeClr val="bg1"/>
              </a:glow>
            </a:effectLst>
            <a:latin typeface="Impact" panose="020B0806030902050204" pitchFamily="34" charset="0"/>
          </a:endParaRPr>
        </a:p>
      </xdr:txBody>
    </xdr:sp>
    <xdr:clientData/>
  </xdr:twoCellAnchor>
  <xdr:twoCellAnchor>
    <xdr:from>
      <xdr:col>7</xdr:col>
      <xdr:colOff>381001</xdr:colOff>
      <xdr:row>469</xdr:row>
      <xdr:rowOff>0</xdr:rowOff>
    </xdr:from>
    <xdr:to>
      <xdr:col>12</xdr:col>
      <xdr:colOff>392954</xdr:colOff>
      <xdr:row>470</xdr:row>
      <xdr:rowOff>141941</xdr:rowOff>
    </xdr:to>
    <xdr:sp macro="" textlink="">
      <xdr:nvSpPr>
        <xdr:cNvPr id="809" name="TextBox 808">
          <a:extLst>
            <a:ext uri="{FF2B5EF4-FFF2-40B4-BE49-F238E27FC236}">
              <a16:creationId xmlns:a16="http://schemas.microsoft.com/office/drawing/2014/main" id="{00000000-0008-0000-0000-000029030000}"/>
            </a:ext>
          </a:extLst>
        </xdr:cNvPr>
        <xdr:cNvSpPr txBox="1"/>
      </xdr:nvSpPr>
      <xdr:spPr>
        <a:xfrm>
          <a:off x="3496236" y="112492118"/>
          <a:ext cx="2514600" cy="395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200">
              <a:ln>
                <a:noFill/>
              </a:ln>
              <a:solidFill>
                <a:srgbClr val="780091"/>
              </a:solidFill>
              <a:effectLst>
                <a:glow rad="38100">
                  <a:schemeClr val="bg1"/>
                </a:glow>
              </a:effectLst>
              <a:latin typeface="Impact" panose="020B0806030902050204" pitchFamily="34" charset="0"/>
            </a:rPr>
            <a:t>IMPACTOR = You impact</a:t>
          </a:r>
          <a:r>
            <a:rPr lang="en-US" sz="1200" baseline="0">
              <a:ln>
                <a:noFill/>
              </a:ln>
              <a:solidFill>
                <a:srgbClr val="780091"/>
              </a:solidFill>
              <a:effectLst>
                <a:glow rad="38100">
                  <a:schemeClr val="bg1"/>
                </a:glow>
              </a:effectLst>
              <a:latin typeface="Impact" panose="020B0806030902050204" pitchFamily="34" charset="0"/>
            </a:rPr>
            <a:t> the relationship more than you are impacted </a:t>
          </a:r>
          <a:r>
            <a:rPr lang="en-US" sz="1200" baseline="0">
              <a:ln>
                <a:noFill/>
              </a:ln>
              <a:solidFill>
                <a:srgbClr val="780091"/>
              </a:solidFill>
              <a:effectLst>
                <a:glow rad="38100">
                  <a:schemeClr val="bg1"/>
                </a:glow>
              </a:effectLst>
              <a:latin typeface="Impact" panose="020B0806030902050204" pitchFamily="34" charset="0"/>
              <a:ea typeface="+mn-ea"/>
              <a:cs typeface="+mn-cs"/>
            </a:rPr>
            <a:t>by it.</a:t>
          </a:r>
        </a:p>
      </xdr:txBody>
    </xdr:sp>
    <xdr:clientData/>
  </xdr:twoCellAnchor>
  <xdr:twoCellAnchor>
    <xdr:from>
      <xdr:col>1</xdr:col>
      <xdr:colOff>0</xdr:colOff>
      <xdr:row>679</xdr:row>
      <xdr:rowOff>0</xdr:rowOff>
    </xdr:from>
    <xdr:to>
      <xdr:col>12</xdr:col>
      <xdr:colOff>437777</xdr:colOff>
      <xdr:row>712</xdr:row>
      <xdr:rowOff>0</xdr:rowOff>
    </xdr:to>
    <xdr:sp macro="" textlink="">
      <xdr:nvSpPr>
        <xdr:cNvPr id="600" name="Text Box 364">
          <a:extLst>
            <a:ext uri="{FF2B5EF4-FFF2-40B4-BE49-F238E27FC236}">
              <a16:creationId xmlns:a16="http://schemas.microsoft.com/office/drawing/2014/main" id="{00000000-0008-0000-0000-000058020000}"/>
            </a:ext>
          </a:extLst>
        </xdr:cNvPr>
        <xdr:cNvSpPr txBox="1"/>
      </xdr:nvSpPr>
      <xdr:spPr>
        <a:xfrm>
          <a:off x="114300" y="161452560"/>
          <a:ext cx="5969897" cy="7459980"/>
        </a:xfrm>
        <a:prstGeom prst="rect">
          <a:avLst/>
        </a:prstGeom>
        <a:solidFill>
          <a:srgbClr val="D2FFE6"/>
        </a:solidFill>
        <a:ln w="6350">
          <a:noFill/>
        </a:ln>
      </xdr:spPr>
      <xdr:txBody>
        <a:bodyPr rot="0" spcFirstLastPara="0" vert="horz" wrap="square" lIns="0" tIns="0" rIns="0" bIns="0" numCol="1" spcCol="0" rtlCol="0" fromWordArt="0" anchor="t" anchorCtr="0" forceAA="0" compatLnSpc="1">
          <a:prstTxWarp prst="textNoShape">
            <a:avLst/>
          </a:prstTxWarp>
          <a:noAutofit/>
        </a:bodyPr>
        <a:lstStyle/>
        <a:p>
          <a:pPr marL="0" marR="0">
            <a:spcBef>
              <a:spcPts val="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1. You check if this is right for you</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You</a:t>
          </a:r>
          <a:r>
            <a:rPr lang="en-US" sz="1100">
              <a:effectLst/>
              <a:latin typeface="Cambria" panose="02040503050406030204" pitchFamily="18" charset="0"/>
              <a:ea typeface="Cambria" panose="02040503050406030204" pitchFamily="18" charset="0"/>
              <a:cs typeface="Times New Roman" panose="02020603050405020304" pitchFamily="18" charset="0"/>
            </a:rPr>
            <a:t> contact </a:t>
          </a:r>
          <a:r>
            <a:rPr lang="en-US" sz="1000">
              <a:solidFill>
                <a:srgbClr val="00823C"/>
              </a:solidFill>
              <a:effectLst/>
              <a:latin typeface="Arial Black" panose="020B0A04020102020204" pitchFamily="34" charset="0"/>
              <a:ea typeface="Cambria" panose="02040503050406030204" pitchFamily="18" charset="0"/>
              <a:cs typeface="Times New Roman" panose="02020603050405020304" pitchFamily="18" charset="0"/>
            </a:rPr>
            <a:t>Value</a:t>
          </a:r>
          <a:r>
            <a:rPr lang="en-US" sz="1000">
              <a:effectLst/>
              <a:latin typeface="Arial Black" panose="020B0A04020102020204" pitchFamily="34" charset="0"/>
              <a:ea typeface="Cambria" panose="02040503050406030204" pitchFamily="18" charset="0"/>
              <a:cs typeface="Times New Roman" panose="02020603050405020304" pitchFamily="18" charset="0"/>
            </a:rPr>
            <a:t> </a:t>
          </a:r>
          <a:r>
            <a:rPr lang="en-US" sz="1000">
              <a:solidFill>
                <a:srgbClr val="780091"/>
              </a:solidFill>
              <a:effectLst/>
              <a:latin typeface="Arial Black" panose="020B0A04020102020204" pitchFamily="34" charset="0"/>
              <a:ea typeface="Cambria" panose="02040503050406030204" pitchFamily="18" charset="0"/>
              <a:cs typeface="Times New Roman" panose="02020603050405020304" pitchFamily="18" charset="0"/>
            </a:rPr>
            <a:t>Relating</a:t>
          </a:r>
          <a:r>
            <a:rPr lang="en-US" sz="1000">
              <a:effectLst/>
              <a:latin typeface="Arial Black" panose="020B0A04020102020204" pitchFamily="34" charset="0"/>
              <a:ea typeface="Cambria" panose="02040503050406030204" pitchFamily="18" charset="0"/>
              <a:cs typeface="Times New Roman" panose="02020603050405020304" pitchFamily="18" charset="0"/>
            </a:rPr>
            <a:t> </a:t>
          </a:r>
          <a:r>
            <a:rPr lang="en-US" sz="1100">
              <a:effectLst/>
              <a:latin typeface="Cambria" panose="02040503050406030204" pitchFamily="18" charset="0"/>
              <a:ea typeface="Cambria" panose="02040503050406030204" pitchFamily="18" charset="0"/>
              <a:cs typeface="Times New Roman" panose="02020603050405020304" pitchFamily="18" charset="0"/>
            </a:rPr>
            <a:t>to inquire if this is a good fit for you. We meet online to go over the details. We match you with a guide and advocate.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342900" marR="0" lvl="0" indent="-342900">
            <a:spcBef>
              <a:spcPts val="0"/>
            </a:spcBef>
            <a:spcAft>
              <a:spcPts val="0"/>
            </a:spcAft>
            <a:buFont typeface="Wingdings 3" panose="05040102010807070707" pitchFamily="18" charset="2"/>
            <a:buChar char=""/>
            <a:tabLst>
              <a:tab pos="457200" algn="l"/>
            </a:tabLst>
          </a:pPr>
          <a:r>
            <a:rPr lang="en-US" sz="1100">
              <a:effectLst/>
              <a:latin typeface="Cambria" panose="02040503050406030204" pitchFamily="18" charset="0"/>
              <a:ea typeface="Cambria" panose="02040503050406030204" pitchFamily="18" charset="0"/>
              <a:cs typeface="Times New Roman" panose="02020603050405020304" pitchFamily="18" charset="0"/>
            </a:rPr>
            <a:t>Your </a:t>
          </a:r>
          <a:r>
            <a:rPr lang="en-US" sz="1100" b="1">
              <a:effectLst/>
              <a:latin typeface="Cambria" panose="02040503050406030204" pitchFamily="18" charset="0"/>
              <a:ea typeface="Cambria" panose="02040503050406030204" pitchFamily="18" charset="0"/>
              <a:cs typeface="Times New Roman" panose="02020603050405020304" pitchFamily="18" charset="0"/>
            </a:rPr>
            <a:t>counselor</a:t>
          </a:r>
          <a:r>
            <a:rPr lang="en-US" sz="1100">
              <a:effectLst/>
              <a:latin typeface="Cambria" panose="02040503050406030204" pitchFamily="18" charset="0"/>
              <a:ea typeface="Cambria" panose="02040503050406030204" pitchFamily="18" charset="0"/>
              <a:cs typeface="Times New Roman" panose="02020603050405020304" pitchFamily="18" charset="0"/>
            </a:rPr>
            <a:t> guides your personal journey with a personal touch.</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342900" marR="0" lvl="0" indent="-342900">
            <a:spcBef>
              <a:spcPts val="0"/>
            </a:spcBef>
            <a:spcAft>
              <a:spcPts val="0"/>
            </a:spcAft>
            <a:buFont typeface="Wingdings 3" panose="05040102010807070707" pitchFamily="18" charset="2"/>
            <a:buChar char=""/>
            <a:tabLst>
              <a:tab pos="457200" algn="l"/>
            </a:tabLst>
          </a:pPr>
          <a:r>
            <a:rPr lang="en-US" sz="1100">
              <a:effectLst/>
              <a:latin typeface="Cambria" panose="02040503050406030204" pitchFamily="18" charset="0"/>
              <a:ea typeface="Cambria" panose="02040503050406030204" pitchFamily="18" charset="0"/>
              <a:cs typeface="Times New Roman" panose="02020603050405020304" pitchFamily="18" charset="0"/>
            </a:rPr>
            <a:t>Your </a:t>
          </a:r>
          <a:r>
            <a:rPr lang="en-US" sz="1100" b="1">
              <a:effectLst/>
              <a:latin typeface="Cambria" panose="02040503050406030204" pitchFamily="18" charset="0"/>
              <a:ea typeface="Cambria" panose="02040503050406030204" pitchFamily="18" charset="0"/>
              <a:cs typeface="Times New Roman" panose="02020603050405020304" pitchFamily="18" charset="0"/>
            </a:rPr>
            <a:t>advocate</a:t>
          </a:r>
          <a:r>
            <a:rPr lang="en-US" sz="1100">
              <a:effectLst/>
              <a:latin typeface="Cambria" panose="02040503050406030204" pitchFamily="18" charset="0"/>
              <a:ea typeface="Cambria" panose="02040503050406030204" pitchFamily="18" charset="0"/>
              <a:cs typeface="Times New Roman" panose="02020603050405020304" pitchFamily="18" charset="0"/>
            </a:rPr>
            <a:t> covers all the external matters to help you reach your goal.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put down a starting amount. You weekly invests $1 to $25, to put skin in the game. You choose an amount you can trust potential supporters to match each week throughout your campaign. Yoo then use our template to practice presenting your passionate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2. You announce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start with a vision to resolve a politicized need by addressing the specific needs of those on each side. With </a:t>
          </a:r>
          <a:r>
            <a:rPr lang="en-US" sz="1100">
              <a:ln w="9525" cap="flat" cmpd="sng" algn="ctr">
                <a:solidFill>
                  <a:srgbClr val="00823C"/>
                </a:solidFill>
                <a:prstDash val="solid"/>
                <a:round/>
              </a:ln>
              <a:effectLst/>
              <a:latin typeface="Cambria" panose="02040503050406030204" pitchFamily="18" charset="0"/>
              <a:ea typeface="Cambria" panose="02040503050406030204" pitchFamily="18" charset="0"/>
              <a:cs typeface="Times New Roman" panose="02020603050405020304" pitchFamily="18" charset="0"/>
            </a:rPr>
            <a:t>Harmony</a:t>
          </a:r>
          <a:r>
            <a:rPr lang="en-US" sz="1100">
              <a:effectLst/>
              <a:latin typeface="Cambria" panose="02040503050406030204" pitchFamily="18" charset="0"/>
              <a:ea typeface="Cambria" panose="02040503050406030204" pitchFamily="18" charset="0"/>
              <a:cs typeface="Times New Roman" panose="02020603050405020304" pitchFamily="18" charset="0"/>
            </a:rPr>
            <a:t> </a:t>
          </a:r>
          <a:r>
            <a:rPr lang="en-US" sz="1100">
              <a:ln w="9525" cap="flat" cmpd="sng" algn="ctr">
                <a:solidFill>
                  <a:srgbClr val="780091"/>
                </a:solidFill>
                <a:prstDash val="solid"/>
                <a:round/>
              </a:ln>
              <a:effectLst/>
              <a:latin typeface="Cambria" panose="02040503050406030204" pitchFamily="18" charset="0"/>
              <a:ea typeface="Cambria" panose="02040503050406030204" pitchFamily="18" charset="0"/>
              <a:cs typeface="Times New Roman" panose="02020603050405020304" pitchFamily="18" charset="0"/>
            </a:rPr>
            <a:t>Politics</a:t>
          </a:r>
          <a:r>
            <a:rPr lang="en-US" sz="1100">
              <a:effectLst/>
              <a:latin typeface="Cambria" panose="02040503050406030204" pitchFamily="18" charset="0"/>
              <a:ea typeface="Cambria" panose="02040503050406030204" pitchFamily="18" charset="0"/>
              <a:cs typeface="Times New Roman" panose="02020603050405020304" pitchFamily="18" charset="0"/>
            </a:rPr>
            <a:t>'s unique conciliatory process, you inspire others to support your passionate cause. You upload your video, and send the link to your list of potential supporters.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3. You attract support</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grow a team of supporters to help your passionate need-resolving cause to become a reality.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invite your prospect supporters to support your cause at the level that is right for them.</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1)	Followers </a:t>
          </a:r>
          <a:r>
            <a:rPr lang="en-US" sz="1100">
              <a:effectLst/>
              <a:latin typeface="Cambria" panose="02040503050406030204" pitchFamily="18" charset="0"/>
              <a:ea typeface="Cambria" panose="02040503050406030204" pitchFamily="18" charset="0"/>
              <a:cs typeface="Times New Roman" panose="02020603050405020304" pitchFamily="18" charset="0"/>
            </a:rPr>
            <a:t>sign up to receive regular reports of your progress. </a:t>
          </a:r>
          <a:r>
            <a:rPr lang="en-US" sz="1100" b="1" i="1">
              <a:effectLst/>
              <a:latin typeface="Cambria" panose="02040503050406030204" pitchFamily="18" charset="0"/>
              <a:ea typeface="Cambria" panose="02040503050406030204" pitchFamily="18" charset="0"/>
              <a:cs typeface="Times New Roman" panose="02020603050405020304" pitchFamily="18" charset="0"/>
            </a:rPr>
            <a:t>FREEMIUM</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They emotionally but not yet financially invest in your cause.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Lowest return on investment, or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follow liberating narrative as it happens.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2)	Supporters </a:t>
          </a:r>
          <a:r>
            <a:rPr lang="en-US" sz="1100">
              <a:effectLst/>
              <a:latin typeface="Cambria" panose="02040503050406030204" pitchFamily="18" charset="0"/>
              <a:ea typeface="Cambria" panose="02040503050406030204" pitchFamily="18" charset="0"/>
              <a:cs typeface="Times New Roman" panose="02020603050405020304" pitchFamily="18" charset="0"/>
            </a:rPr>
            <a:t>pledge a weeky amount that helps cover the costs of this service. </a:t>
          </a:r>
          <a:r>
            <a:rPr lang="en-US" sz="1100" b="1" i="1">
              <a:effectLst/>
              <a:latin typeface="Cambria" panose="02040503050406030204" pitchFamily="18" charset="0"/>
              <a:ea typeface="Cambria" panose="02040503050406030204" pitchFamily="18" charset="0"/>
              <a:cs typeface="Times New Roman" panose="02020603050405020304" pitchFamily="18" charset="0"/>
            </a:rPr>
            <a:t>BASIC</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regular updates, your supporters serve as advisors to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Mid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coauthor liberating narrative in real time.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3)	Cosponsors </a:t>
          </a:r>
          <a:r>
            <a:rPr lang="en-US" sz="1100">
              <a:effectLst/>
              <a:latin typeface="Cambria" panose="02040503050406030204" pitchFamily="18" charset="0"/>
              <a:ea typeface="Cambria" panose="02040503050406030204" pitchFamily="18" charset="0"/>
              <a:cs typeface="Times New Roman" panose="02020603050405020304" pitchFamily="18" charset="0"/>
            </a:rPr>
            <a:t>double the amount of the previous level of weekly pledges. </a:t>
          </a:r>
          <a:r>
            <a:rPr lang="en-US" sz="1100" b="1" i="1">
              <a:effectLst/>
              <a:latin typeface="Cambria" panose="02040503050406030204" pitchFamily="18" charset="0"/>
              <a:ea typeface="Cambria" panose="02040503050406030204" pitchFamily="18" charset="0"/>
              <a:cs typeface="Times New Roman" panose="02020603050405020304" pitchFamily="18" charset="0"/>
            </a:rPr>
            <a:t>PREMIUM</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updates, your cosponsors serve as a governing board to boost your success.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High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co-create inspiring narrative with necessary funding.</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4)	Patrons </a:t>
          </a:r>
          <a:r>
            <a:rPr lang="en-US" sz="1100">
              <a:effectLst/>
              <a:latin typeface="Cambria" panose="02040503050406030204" pitchFamily="18" charset="0"/>
              <a:ea typeface="Cambria" panose="02040503050406030204" pitchFamily="18" charset="0"/>
              <a:cs typeface="Times New Roman" panose="02020603050405020304" pitchFamily="18" charset="0"/>
            </a:rPr>
            <a:t>double the weekly amount of the previous level of co-sponsorship. </a:t>
          </a:r>
          <a:r>
            <a:rPr lang="en-US" sz="1100" b="1" i="1">
              <a:effectLst/>
              <a:latin typeface="Cambria" panose="02040503050406030204" pitchFamily="18" charset="0"/>
              <a:ea typeface="Cambria" panose="02040503050406030204" pitchFamily="18" charset="0"/>
              <a:cs typeface="Times New Roman" panose="02020603050405020304" pitchFamily="18" charset="0"/>
            </a:rPr>
            <a:t>PLUS</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the above, patrons invest the resources necessary to fulfill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Highest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boost their own branding, and their competitive legitimacy.</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4. You launch your campaign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After you have invited prospect supporters to join your team, you work with your guide and advocate to lay the foundation for your campaign cause. You agree upon milestones along the way. You strategize the best way forward.</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list the Impactors affecting your life. You draft invitations to send out to each of them, at the right time. You invite your invited supporters to weigh in. You give them a taste of the amazing things to come, if enough of them support you.</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Your launch is merely the first of four campaign phases.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1)	</a:t>
          </a:r>
          <a:r>
            <a:rPr lang="en-US" sz="1100" b="1">
              <a:effectLst/>
              <a:latin typeface="Cambria" panose="02040503050406030204" pitchFamily="18" charset="0"/>
              <a:ea typeface="Cambria" panose="02040503050406030204" pitchFamily="18" charset="0"/>
              <a:cs typeface="Times New Roman" panose="02020603050405020304" pitchFamily="18" charset="0"/>
            </a:rPr>
            <a:t>Launch</a:t>
          </a:r>
          <a:r>
            <a:rPr lang="en-US" sz="1100">
              <a:effectLst/>
              <a:latin typeface="Cambria" panose="02040503050406030204" pitchFamily="18" charset="0"/>
              <a:ea typeface="Cambria" panose="02040503050406030204" pitchFamily="18" charset="0"/>
              <a:cs typeface="Times New Roman" panose="02020603050405020304" pitchFamily="18" charset="0"/>
            </a:rPr>
            <a:t>: At this point, it's just you you, your guide, and your advocate.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2)	</a:t>
          </a:r>
          <a:r>
            <a:rPr lang="en-US" sz="1100" b="1">
              <a:effectLst/>
              <a:latin typeface="Cambria" panose="02040503050406030204" pitchFamily="18" charset="0"/>
              <a:ea typeface="Cambria" panose="02040503050406030204" pitchFamily="18" charset="0"/>
              <a:cs typeface="Times New Roman" panose="02020603050405020304" pitchFamily="18" charset="0"/>
            </a:rPr>
            <a:t>Base</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team of followers and supporters.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3)	</a:t>
          </a:r>
          <a:r>
            <a:rPr lang="en-US" sz="1100" b="1">
              <a:effectLst/>
              <a:latin typeface="Cambria" panose="02040503050406030204" pitchFamily="18" charset="0"/>
              <a:ea typeface="Cambria" panose="02040503050406030204" pitchFamily="18" charset="0"/>
              <a:cs typeface="Times New Roman" panose="02020603050405020304" pitchFamily="18" charset="0"/>
            </a:rPr>
            <a:t>Growth</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cosponsors.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4)	</a:t>
          </a:r>
          <a:r>
            <a:rPr lang="en-US" sz="1100" b="1">
              <a:effectLst/>
              <a:latin typeface="Cambria" panose="02040503050406030204" pitchFamily="18" charset="0"/>
              <a:ea typeface="Cambria" panose="02040503050406030204" pitchFamily="18" charset="0"/>
              <a:cs typeface="Times New Roman" panose="02020603050405020304" pitchFamily="18" charset="0"/>
            </a:rPr>
            <a:t>Cause</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patron or patrons.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Check below for how each phase unfolds.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clientData/>
  </xdr:twoCellAnchor>
  <xdr:twoCellAnchor>
    <xdr:from>
      <xdr:col>1</xdr:col>
      <xdr:colOff>22412</xdr:colOff>
      <xdr:row>752</xdr:row>
      <xdr:rowOff>7471</xdr:rowOff>
    </xdr:from>
    <xdr:to>
      <xdr:col>12</xdr:col>
      <xdr:colOff>460189</xdr:colOff>
      <xdr:row>779</xdr:row>
      <xdr:rowOff>7470</xdr:rowOff>
    </xdr:to>
    <xdr:sp macro="" textlink="">
      <xdr:nvSpPr>
        <xdr:cNvPr id="606" name="TextBox 605">
          <a:extLst>
            <a:ext uri="{FF2B5EF4-FFF2-40B4-BE49-F238E27FC236}">
              <a16:creationId xmlns:a16="http://schemas.microsoft.com/office/drawing/2014/main" id="{00000000-0008-0000-0000-00005E020000}"/>
            </a:ext>
          </a:extLst>
        </xdr:cNvPr>
        <xdr:cNvSpPr txBox="1"/>
      </xdr:nvSpPr>
      <xdr:spPr>
        <a:xfrm>
          <a:off x="134471" y="171024177"/>
          <a:ext cx="5943600" cy="68579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latin typeface="Cambria" panose="02040503050406030204" pitchFamily="18" charset="0"/>
              <a:ea typeface="Cambria" panose="02040503050406030204" pitchFamily="18" charset="0"/>
            </a:rPr>
            <a:t>You start shortly after qualifying with your demonstration video. As currently envisioned, you launch your campaign as soon as you raise enough weekly support. To convince a guide and an advocate to grow your campaign, you must demonstrate from the start you have the backing for a sustianable launch.</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Price point pace</a:t>
          </a:r>
        </a:p>
        <a:p>
          <a:r>
            <a:rPr lang="en-US" sz="1200" baseline="0">
              <a:latin typeface="Cambria" panose="02040503050406030204" pitchFamily="18" charset="0"/>
              <a:ea typeface="Cambria" panose="02040503050406030204" pitchFamily="18" charset="0"/>
            </a:rPr>
            <a:t>Until you reach the billing threshold in each phase, your campaign does not raise revenue and your guide and advocate work with you at a slower pace. We work at the pace of your raised support. When enough supporters join your cause, you qualify for the next phase.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Anticipate attrition if your campaign faulters and loses momentum. Keep seeking support. Ask your supporters to invite others to follow your campaign. You build your support team as you create more need-resolving value with momentum.</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Baseline measures</a:t>
          </a:r>
        </a:p>
        <a:p>
          <a:r>
            <a:rPr lang="en-US" sz="1200" baseline="0">
              <a:latin typeface="Cambria" panose="02040503050406030204" pitchFamily="18" charset="0"/>
              <a:ea typeface="Cambria" panose="02040503050406030204" pitchFamily="18" charset="0"/>
            </a:rPr>
            <a:t>We assess your wellness levels. We need to capture your levels of anxiety and depression to compare later. If we find you starting with a high level of anxiety and it later drops as you find courage with this process, we can use this to attract more support. This includes identifying your impacted needs. How will your wellness improve if your politically impacted needs can resolve? How would this help others similarly situataed?</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Your internal foundation</a:t>
          </a:r>
        </a:p>
        <a:p>
          <a:r>
            <a:rPr lang="en-US" sz="1200" baseline="0">
              <a:latin typeface="Cambria" panose="02040503050406030204" pitchFamily="18" charset="0"/>
              <a:ea typeface="Cambria" panose="02040503050406030204" pitchFamily="18" charset="0"/>
            </a:rPr>
            <a:t>You and your guide ensure you have the stamina to move forward. You get real about the likely challenges ahead. You find strength in your passion to resolve the politicized need, which inspires you to overcome obstacles thrown your way. You inspire others along the way. Your internal strengths grow stronger, with an internal feedback loop.</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Your social reach</a:t>
          </a:r>
        </a:p>
        <a:p>
          <a:r>
            <a:rPr lang="en-US" sz="1200" baseline="0">
              <a:latin typeface="Cambria" panose="02040503050406030204" pitchFamily="18" charset="0"/>
              <a:ea typeface="Cambria" panose="02040503050406030204" pitchFamily="18" charset="0"/>
            </a:rPr>
            <a:t>You brainstorm a list of your social contacts. You consider who among your social capital will make good candidates for your team. How can each contribute to your cause to resolve the politicized need? What can they offer? What to they expect in return?</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Day one</a:t>
          </a:r>
        </a:p>
        <a:p>
          <a:r>
            <a:rPr lang="en-US" sz="1200" baseline="0">
              <a:latin typeface="Cambria" panose="02040503050406030204" pitchFamily="18" charset="0"/>
              <a:ea typeface="Cambria" panose="02040503050406030204" pitchFamily="18" charset="0"/>
            </a:rPr>
            <a:t>You send out invitations. You announce your intentions. You set yourself apart from the self-serving status quo. Even if no one ever replies to your invitations</a:t>
          </a:r>
          <a:r>
            <a:rPr lang="en-US" sz="1100">
              <a:solidFill>
                <a:schemeClr val="dk1"/>
              </a:solidFill>
              <a:effectLst/>
              <a:latin typeface="+mn-lt"/>
              <a:ea typeface="+mn-ea"/>
              <a:cs typeface="+mn-cs"/>
            </a:rPr>
            <a:t>—</a:t>
          </a:r>
          <a:r>
            <a:rPr lang="en-US" sz="1200" baseline="0">
              <a:latin typeface="Cambria" panose="02040503050406030204" pitchFamily="18" charset="0"/>
              <a:ea typeface="Cambria" panose="02040503050406030204" pitchFamily="18" charset="0"/>
            </a:rPr>
            <a:t>a worse case scenario</a:t>
          </a:r>
          <a:r>
            <a:rPr lang="en-US" sz="1100">
              <a:solidFill>
                <a:schemeClr val="dk1"/>
              </a:solidFill>
              <a:effectLst/>
              <a:latin typeface="+mn-lt"/>
              <a:ea typeface="+mn-ea"/>
              <a:cs typeface="+mn-cs"/>
            </a:rPr>
            <a:t>—</a:t>
          </a:r>
          <a:r>
            <a:rPr lang="en-US" sz="1200" baseline="0">
              <a:latin typeface="Cambria" panose="02040503050406030204" pitchFamily="18" charset="0"/>
              <a:ea typeface="Cambria" panose="02040503050406030204" pitchFamily="18" charset="0"/>
            </a:rPr>
            <a:t>you leap forward into a realm of wellness few will ever know. Your guide and advocate help you avoid a number of pitfalls that risk ending your campaign in failure.</a:t>
          </a:r>
        </a:p>
      </xdr:txBody>
    </xdr:sp>
    <xdr:clientData/>
  </xdr:twoCellAnchor>
  <xdr:twoCellAnchor>
    <xdr:from>
      <xdr:col>1</xdr:col>
      <xdr:colOff>899</xdr:colOff>
      <xdr:row>717</xdr:row>
      <xdr:rowOff>84720</xdr:rowOff>
    </xdr:from>
    <xdr:to>
      <xdr:col>13</xdr:col>
      <xdr:colOff>31827</xdr:colOff>
      <xdr:row>733</xdr:row>
      <xdr:rowOff>216198</xdr:rowOff>
    </xdr:to>
    <xdr:sp macro="" textlink="">
      <xdr:nvSpPr>
        <xdr:cNvPr id="620" name="TextBox 619">
          <a:extLst>
            <a:ext uri="{FF2B5EF4-FFF2-40B4-BE49-F238E27FC236}">
              <a16:creationId xmlns:a16="http://schemas.microsoft.com/office/drawing/2014/main" id="{00000000-0008-0000-0000-00006C020000}"/>
            </a:ext>
          </a:extLst>
        </xdr:cNvPr>
        <xdr:cNvSpPr txBox="1"/>
      </xdr:nvSpPr>
      <xdr:spPr>
        <a:xfrm>
          <a:off x="115199" y="169934520"/>
          <a:ext cx="6065968" cy="4154838"/>
        </a:xfrm>
        <a:prstGeom prst="rect">
          <a:avLst/>
        </a:prstGeom>
        <a:solidFill>
          <a:srgbClr val="D2FFE6"/>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spc="-10" baseline="0">
              <a:solidFill>
                <a:schemeClr val="dk1"/>
              </a:solidFill>
              <a:latin typeface="Cambria" panose="02040503050406030204" pitchFamily="18" charset="0"/>
              <a:ea typeface="Cambria" panose="02040503050406030204" pitchFamily="18" charset="0"/>
              <a:cs typeface="+mn-cs"/>
            </a:rPr>
            <a:t>Your supporters are lined up. You have listed the Impactors who could effect change. You have </a:t>
          </a:r>
          <a:r>
            <a:rPr lang="en-US" sz="1200" baseline="0">
              <a:solidFill>
                <a:schemeClr val="dk1"/>
              </a:solidFill>
              <a:latin typeface="Cambria" panose="02040503050406030204" pitchFamily="18" charset="0"/>
              <a:ea typeface="Cambria" panose="02040503050406030204" pitchFamily="18" charset="0"/>
              <a:cs typeface="+mn-cs"/>
            </a:rPr>
            <a:t>publicy announced your commitment to mutually resolve needs affected by the politicized issue. You are eager yet understandably nervous about speaking truth to political power.</a:t>
          </a:r>
          <a:endParaRPr lang="en-US" sz="1600" b="1" baseline="0">
            <a:latin typeface="Tahoma" panose="020B0604030504040204" pitchFamily="34" charset="0"/>
            <a:ea typeface="Tahoma" panose="020B0604030504040204" pitchFamily="34" charset="0"/>
            <a:cs typeface="Tahoma" panose="020B0604030504040204" pitchFamily="34" charset="0"/>
          </a:endParaRPr>
        </a:p>
        <a:p>
          <a:pPr>
            <a:spcBef>
              <a:spcPts val="1200"/>
            </a:spcBef>
          </a:pPr>
          <a:r>
            <a:rPr lang="en-US" sz="1600" b="1" baseline="0">
              <a:latin typeface="Tahoma" panose="020B0604030504040204" pitchFamily="34" charset="0"/>
              <a:ea typeface="Tahoma" panose="020B0604030504040204" pitchFamily="34" charset="0"/>
              <a:cs typeface="Tahoma" panose="020B0604030504040204" pitchFamily="34" charset="0"/>
            </a:rPr>
            <a:t>Finding your voice</a:t>
          </a:r>
        </a:p>
        <a:p>
          <a:pPr>
            <a:spcAft>
              <a:spcPts val="900"/>
            </a:spcAft>
          </a:pPr>
          <a:r>
            <a:rPr lang="en-US" sz="1200" baseline="0">
              <a:latin typeface="Cambria" panose="02040503050406030204" pitchFamily="18" charset="0"/>
              <a:ea typeface="Cambria" panose="02040503050406030204" pitchFamily="18" charset="0"/>
            </a:rPr>
            <a:t>We nurture you to </a:t>
          </a:r>
          <a:r>
            <a:rPr lang="en-US" sz="1200" baseline="0">
              <a:ln>
                <a:solidFill>
                  <a:srgbClr val="780091"/>
                </a:solidFill>
              </a:ln>
              <a:latin typeface="Cambria" panose="02040503050406030204" pitchFamily="18" charset="0"/>
              <a:ea typeface="Cambria" panose="02040503050406030204" pitchFamily="18" charset="0"/>
            </a:rPr>
            <a:t>speak truth to power</a:t>
          </a:r>
          <a:r>
            <a:rPr lang="en-US" sz="1200" baseline="0">
              <a:latin typeface="Cambria" panose="02040503050406030204" pitchFamily="18" charset="0"/>
              <a:ea typeface="Cambria" panose="02040503050406030204" pitchFamily="18" charset="0"/>
            </a:rPr>
            <a:t> from the start. You begin by speaking boldy to your </a:t>
          </a:r>
          <a:r>
            <a:rPr lang="en-US" sz="1200" b="1" baseline="0">
              <a:latin typeface="Cambria" panose="02040503050406030204" pitchFamily="18" charset="0"/>
              <a:ea typeface="Cambria" panose="02040503050406030204" pitchFamily="18" charset="0"/>
            </a:rPr>
            <a:t>guide</a:t>
          </a:r>
          <a:r>
            <a:rPr lang="en-US" sz="1200" baseline="0">
              <a:latin typeface="Cambria" panose="02040503050406030204" pitchFamily="18" charset="0"/>
              <a:ea typeface="Cambria" panose="02040503050406030204" pitchFamily="18" charset="0"/>
            </a:rPr>
            <a:t> and to your </a:t>
          </a:r>
          <a:r>
            <a:rPr lang="en-US" sz="1200" b="1" baseline="0">
              <a:latin typeface="Cambria" panose="02040503050406030204" pitchFamily="18" charset="0"/>
              <a:ea typeface="Cambria" panose="02040503050406030204" pitchFamily="18" charset="0"/>
            </a:rPr>
            <a:t>advocate</a:t>
          </a:r>
          <a:r>
            <a:rPr lang="en-US" sz="1200" baseline="0">
              <a:latin typeface="Cambria" panose="02040503050406030204" pitchFamily="18" charset="0"/>
              <a:ea typeface="Cambria" panose="02040503050406030204" pitchFamily="18" charset="0"/>
            </a:rPr>
            <a:t>. We put you through some exercises to build your courage, and to sharpen your tact. </a:t>
          </a:r>
        </a:p>
        <a:p>
          <a:pPr>
            <a:spcAft>
              <a:spcPts val="900"/>
            </a:spcAft>
          </a:pPr>
          <a:r>
            <a:rPr lang="en-US" sz="1200" baseline="0">
              <a:latin typeface="Cambria" panose="02040503050406030204" pitchFamily="18" charset="0"/>
              <a:ea typeface="Cambria" panose="02040503050406030204" pitchFamily="18" charset="0"/>
            </a:rPr>
            <a:t>Your reliance upon the guide and advocate puts them in positions of power over you. You also retain authority over them. This working triangle creates a microcosm of the larger world of power relations. As you practice speaking truth to power with them, you gain the confidence to address the politically powerful.</a:t>
          </a:r>
        </a:p>
        <a:p>
          <a:pPr>
            <a:spcAft>
              <a:spcPts val="0"/>
            </a:spcAft>
          </a:pPr>
          <a:r>
            <a:rPr lang="en-US" sz="1200" baseline="0">
              <a:latin typeface="Cambria" panose="02040503050406030204" pitchFamily="18" charset="0"/>
              <a:ea typeface="Cambria" panose="02040503050406030204" pitchFamily="18" charset="0"/>
            </a:rPr>
            <a:t>If both your guide and advocate agree on something you know is not right for you, you can </a:t>
          </a:r>
          <a:r>
            <a:rPr lang="en-US" sz="1200" spc="-10" baseline="0">
              <a:latin typeface="Cambria" panose="02040503050406030204" pitchFamily="18" charset="0"/>
              <a:ea typeface="Cambria" panose="02040503050406030204" pitchFamily="18" charset="0"/>
            </a:rPr>
            <a:t>appeal to your supporters. Their majority vote can veto this guide-advocate consensus. Unlike </a:t>
          </a:r>
          <a:r>
            <a:rPr lang="en-US" sz="1200" baseline="0">
              <a:latin typeface="Cambria" panose="02040503050406030204" pitchFamily="18" charset="0"/>
              <a:ea typeface="Cambria" panose="02040503050406030204" pitchFamily="18" charset="0"/>
            </a:rPr>
            <a:t>political elites, they remain directly accountable to you. They must produce results for you.</a:t>
          </a:r>
        </a:p>
        <a:p>
          <a:pPr>
            <a:spcBef>
              <a:spcPts val="1500"/>
            </a:spcBef>
          </a:pPr>
          <a:r>
            <a:rPr lang="en-US" sz="1400" b="1" baseline="0">
              <a:latin typeface="Tahoma" panose="020B0604030504040204" pitchFamily="34" charset="0"/>
              <a:ea typeface="Tahoma" panose="020B0604030504040204" pitchFamily="34" charset="0"/>
              <a:cs typeface="Tahoma" panose="020B0604030504040204" pitchFamily="34" charset="0"/>
            </a:rPr>
            <a:t>Your weekly progress update</a:t>
          </a:r>
        </a:p>
        <a:p>
          <a:pPr>
            <a:spcAft>
              <a:spcPts val="0"/>
            </a:spcAft>
          </a:pPr>
          <a:r>
            <a:rPr lang="en-US" sz="1200" baseline="0">
              <a:latin typeface="Cambria" panose="02040503050406030204" pitchFamily="18" charset="0"/>
              <a:ea typeface="Cambria" panose="02040503050406030204" pitchFamily="18" charset="0"/>
            </a:rPr>
            <a:t>At the end of each week, you draft a progress report. You utilize a template that simpliefies the process. Your guide and advocate give their inputs. Once satisfied with how it sounds, you press send to distribute it to all your supporters. Later, your cosponsors and patrons will have access to these. Your progress updates provides the history of your journey.</a:t>
          </a:r>
        </a:p>
        <a:p>
          <a:pPr>
            <a:spcBef>
              <a:spcPts val="1000"/>
            </a:spcBef>
            <a:spcAft>
              <a:spcPts val="0"/>
            </a:spcAft>
          </a:pP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Sample progress update</a:t>
          </a:r>
        </a:p>
      </xdr:txBody>
    </xdr:sp>
    <xdr:clientData/>
  </xdr:twoCellAnchor>
  <xdr:twoCellAnchor>
    <xdr:from>
      <xdr:col>14</xdr:col>
      <xdr:colOff>83833</xdr:colOff>
      <xdr:row>734</xdr:row>
      <xdr:rowOff>69993</xdr:rowOff>
    </xdr:from>
    <xdr:to>
      <xdr:col>27</xdr:col>
      <xdr:colOff>462</xdr:colOff>
      <xdr:row>745</xdr:row>
      <xdr:rowOff>91440</xdr:rowOff>
    </xdr:to>
    <xdr:sp macro="" textlink="">
      <xdr:nvSpPr>
        <xdr:cNvPr id="624" name="TextBox 623">
          <a:extLst>
            <a:ext uri="{FF2B5EF4-FFF2-40B4-BE49-F238E27FC236}">
              <a16:creationId xmlns:a16="http://schemas.microsoft.com/office/drawing/2014/main" id="{00000000-0008-0000-0000-000070020000}"/>
            </a:ext>
          </a:extLst>
        </xdr:cNvPr>
        <xdr:cNvSpPr txBox="1"/>
      </xdr:nvSpPr>
      <xdr:spPr>
        <a:xfrm>
          <a:off x="6347473" y="174194613"/>
          <a:ext cx="6065969" cy="2795127"/>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400" b="1" baseline="0">
              <a:latin typeface="Tahoma" panose="020B0604030504040204" pitchFamily="34" charset="0"/>
              <a:ea typeface="Tahoma" panose="020B0604030504040204" pitchFamily="34" charset="0"/>
              <a:cs typeface="Tahoma" panose="020B0604030504040204" pitchFamily="34" charset="0"/>
            </a:rPr>
            <a:t>Sample progress update</a:t>
          </a:r>
        </a:p>
        <a:p>
          <a:endParaRPr lang="en-US" sz="1200" baseline="0">
            <a:latin typeface="Cambria" panose="02040503050406030204" pitchFamily="18" charset="0"/>
            <a:ea typeface="Cambria" panose="02040503050406030204" pitchFamily="18" charset="0"/>
          </a:endParaRPr>
        </a:p>
        <a:p>
          <a:r>
            <a:rPr lang="en-US" sz="1200" baseline="0">
              <a:solidFill>
                <a:schemeClr val="dk1"/>
              </a:solidFill>
              <a:latin typeface="Cambria" panose="02040503050406030204" pitchFamily="18" charset="0"/>
              <a:ea typeface="Cambria" panose="02040503050406030204" pitchFamily="18" charset="0"/>
              <a:cs typeface="+mn-cs"/>
            </a:rPr>
            <a:t>This week, I received my first reply from one of the political leaders I contacted. It was encouraging. The more I speak truth to power, the more I find my addiction to [ADDICTION LIST] has less of a hold on me. My intense fear of [ANXIETY LIST] also subsides. Now that I feel more empowered over my life, I no longer suffer as much from [DEPRESSION SYMPTOMS LIST].</a:t>
          </a:r>
        </a:p>
        <a:p>
          <a:r>
            <a:rPr lang="en-US" sz="1200" baseline="0">
              <a:solidFill>
                <a:schemeClr val="dk1"/>
              </a:solidFill>
              <a:latin typeface="Cambria" panose="02040503050406030204" pitchFamily="18" charset="0"/>
              <a:ea typeface="Cambria" panose="02040503050406030204" pitchFamily="18" charset="0"/>
              <a:cs typeface="+mn-cs"/>
            </a:rPr>
            <a:t> </a:t>
          </a:r>
        </a:p>
        <a:p>
          <a:r>
            <a:rPr lang="en-US" sz="1200" baseline="0">
              <a:solidFill>
                <a:schemeClr val="dk1"/>
              </a:solidFill>
              <a:latin typeface="Cambria" panose="02040503050406030204" pitchFamily="18" charset="0"/>
              <a:ea typeface="Cambria" panose="02040503050406030204" pitchFamily="18" charset="0"/>
              <a:cs typeface="+mn-cs"/>
            </a:rPr>
            <a:t>As for anxiety, I started with a BAI score of 23. I am now down to 11. As for depression, I started with a BDI score of 26. I am now down to 12. As for hopelessness, I started with a BHI score of 19. I am now down to 8. I ascribe the bulk of such improvement to feeling empowered. I now have a better sense of my [EMPOWERMENT LIST]. I can rely less on political generalizing, to address each other’s specific [ISSUE] affected needs.</a:t>
          </a:r>
        </a:p>
      </xdr:txBody>
    </xdr:sp>
    <xdr:clientData/>
  </xdr:twoCellAnchor>
  <xdr:twoCellAnchor>
    <xdr:from>
      <xdr:col>1</xdr:col>
      <xdr:colOff>25998</xdr:colOff>
      <xdr:row>821</xdr:row>
      <xdr:rowOff>79936</xdr:rowOff>
    </xdr:from>
    <xdr:to>
      <xdr:col>12</xdr:col>
      <xdr:colOff>463177</xdr:colOff>
      <xdr:row>827</xdr:row>
      <xdr:rowOff>29883</xdr:rowOff>
    </xdr:to>
    <xdr:sp macro="" textlink="">
      <xdr:nvSpPr>
        <xdr:cNvPr id="639" name="TextBox 638">
          <a:extLst>
            <a:ext uri="{FF2B5EF4-FFF2-40B4-BE49-F238E27FC236}">
              <a16:creationId xmlns:a16="http://schemas.microsoft.com/office/drawing/2014/main" id="{00000000-0008-0000-0000-00007F020000}"/>
            </a:ext>
          </a:extLst>
        </xdr:cNvPr>
        <xdr:cNvSpPr txBox="1"/>
      </xdr:nvSpPr>
      <xdr:spPr>
        <a:xfrm>
          <a:off x="138057" y="196533995"/>
          <a:ext cx="5943002" cy="126477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2400" b="1" baseline="0">
              <a:ln>
                <a:solidFill>
                  <a:srgbClr val="CC00CC"/>
                </a:solidFill>
              </a:ln>
              <a:solidFill>
                <a:srgbClr val="780091"/>
              </a:solidFill>
              <a:effectLst>
                <a:innerShdw blurRad="63500" dist="50800" dir="162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The price of leadership just went up. Opportunity for leaders to positively impact others now soars far higher.</a:t>
          </a:r>
        </a:p>
      </xdr:txBody>
    </xdr:sp>
    <xdr:clientData/>
  </xdr:twoCellAnchor>
  <xdr:twoCellAnchor>
    <xdr:from>
      <xdr:col>15</xdr:col>
      <xdr:colOff>0</xdr:colOff>
      <xdr:row>784</xdr:row>
      <xdr:rowOff>0</xdr:rowOff>
    </xdr:from>
    <xdr:to>
      <xdr:col>27</xdr:col>
      <xdr:colOff>28687</xdr:colOff>
      <xdr:row>813</xdr:row>
      <xdr:rowOff>218141</xdr:rowOff>
    </xdr:to>
    <xdr:sp macro="" textlink="">
      <xdr:nvSpPr>
        <xdr:cNvPr id="642" name="TextBox 89">
          <a:extLst>
            <a:ext uri="{FF2B5EF4-FFF2-40B4-BE49-F238E27FC236}">
              <a16:creationId xmlns:a16="http://schemas.microsoft.com/office/drawing/2014/main" id="{00000000-0008-0000-0000-000082020000}"/>
            </a:ext>
          </a:extLst>
        </xdr:cNvPr>
        <xdr:cNvSpPr txBox="1"/>
      </xdr:nvSpPr>
      <xdr:spPr>
        <a:xfrm>
          <a:off x="6342529" y="187601412"/>
          <a:ext cx="6035040" cy="73152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0" marR="0">
            <a:spcBef>
              <a:spcPts val="0"/>
            </a:spcBef>
            <a:spcAft>
              <a:spcPts val="0"/>
            </a:spcAft>
          </a:pPr>
          <a:r>
            <a:rPr lang="en-US" sz="1100">
              <a:solidFill>
                <a:srgbClr val="CC00CC"/>
              </a:solidFill>
              <a:effectLst/>
              <a:latin typeface="Cambria" panose="02040503050406030204" pitchFamily="18" charset="0"/>
              <a:ea typeface="Cambria" panose="02040503050406030204" pitchFamily="18" charset="0"/>
              <a:cs typeface="Times New Roman" panose="02020603050405020304" pitchFamily="18" charset="0"/>
            </a:rPr>
            <a:t>Place yourself in the shoes of political actors: journalists who follow politics for their living, think tanks conducting political research, public servants answering to elected leaders, and to your elected leaders themselves. If you give them the opportunity to bring all sides of a political issue together in love, what do you think would be their likely response?</a:t>
          </a:r>
          <a:endParaRPr lang="en-US" sz="1100">
            <a:solidFill>
              <a:srgbClr val="CC00CC"/>
            </a:solidFill>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journalist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public servant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elected official</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[Disregard me as some nut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Unlikely. But if so, pass on them. There are more fish in this sea.</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may redirect you to some other government agency.</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risk political damage if they disregard you.</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[Ignore me as irrelevant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Life is busy. After three attempts, mark as unresponsive and move on.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could get lost in the bureaucratic shuffle. They again, and again.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don’t mention you’re in their voting district, they just might.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[Reply politely to try to shut me up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Unlikely. If not a subscriber, they may not respond. Give ‘em a reason.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may get a form letter response. Try again, then move 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are in their voting district, they will inevitably respond.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[Tell me they don’t handle such inquiries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Know their audience and pain points. Ask them what they need.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Then have them refer you to an agency or nonprofit that does.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may forward you to the proper agency, even if not really helpful.</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[Tell me they will have to get back to me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to their word. Tell them you will move on if not heard soon.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accountable. Follow up in a few days.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you’re in their voting district, you can count on a follow-up.</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[Be excited to be part of this game changing plan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Great! Keep in touch. Check if their enthusiasm has roots.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likely will mention all the restrictions they are under.</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nailed their pain points, they just might show some excitement.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[Get right back to me with investment in hand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Amazing! Put them at the top of your list. You’re onto something.</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Personally they might. If their institution let them act on their own.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Unlikely without plenty of effort from you and your team.</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The point here is to being responsive to their needs. Along the way, we assess their responsiveness to your impacted needs. We rate their legitimacy. We grab the power.</a:t>
          </a:r>
        </a:p>
      </xdr:txBody>
    </xdr:sp>
    <xdr:clientData/>
  </xdr:twoCellAnchor>
  <xdr:twoCellAnchor>
    <xdr:from>
      <xdr:col>39</xdr:col>
      <xdr:colOff>190500</xdr:colOff>
      <xdr:row>797</xdr:row>
      <xdr:rowOff>133350</xdr:rowOff>
    </xdr:from>
    <xdr:to>
      <xdr:col>49</xdr:col>
      <xdr:colOff>104551</xdr:colOff>
      <xdr:row>815</xdr:row>
      <xdr:rowOff>38735</xdr:rowOff>
    </xdr:to>
    <xdr:grpSp>
      <xdr:nvGrpSpPr>
        <xdr:cNvPr id="69" name="Group 68">
          <a:extLst>
            <a:ext uri="{FF2B5EF4-FFF2-40B4-BE49-F238E27FC236}">
              <a16:creationId xmlns:a16="http://schemas.microsoft.com/office/drawing/2014/main" id="{46472582-A001-4F32-95F1-AF320A0A6515}"/>
            </a:ext>
          </a:extLst>
        </xdr:cNvPr>
        <xdr:cNvGrpSpPr/>
      </xdr:nvGrpSpPr>
      <xdr:grpSpPr>
        <a:xfrm>
          <a:off x="9425940" y="189635130"/>
          <a:ext cx="0" cy="4111625"/>
          <a:chOff x="25869900" y="184194450"/>
          <a:chExt cx="6010051" cy="4039235"/>
        </a:xfrm>
      </xdr:grpSpPr>
      <xdr:sp macro="" textlink="">
        <xdr:nvSpPr>
          <xdr:cNvPr id="655" name="TextBox 89">
            <a:extLst>
              <a:ext uri="{FF2B5EF4-FFF2-40B4-BE49-F238E27FC236}">
                <a16:creationId xmlns:a16="http://schemas.microsoft.com/office/drawing/2014/main" id="{00000000-0008-0000-0000-00008F020000}"/>
              </a:ext>
            </a:extLst>
          </xdr:cNvPr>
          <xdr:cNvSpPr txBox="1"/>
        </xdr:nvSpPr>
        <xdr:spPr>
          <a:xfrm>
            <a:off x="25871805" y="184194450"/>
            <a:ext cx="6008146" cy="133985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Unlikely. But if so, pass on them. There are more fish in this sea.</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Life is busy. After three attempts, mark as unresponsive and move on.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Unlikely. If not a subscriber, they may not respond. Give ‘em a reason.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Know their audience and pain points. Ask them what they need.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to their word. Tell them you will move on if not heard soon.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Great! Keep in touch. Check if their enthusiasm has roots.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Amazing! Put them at the top of your list. You’re onto something.</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sp macro="" textlink="">
        <xdr:nvSpPr>
          <xdr:cNvPr id="661" name="TextBox 89">
            <a:extLst>
              <a:ext uri="{FF2B5EF4-FFF2-40B4-BE49-F238E27FC236}">
                <a16:creationId xmlns:a16="http://schemas.microsoft.com/office/drawing/2014/main" id="{00000000-0008-0000-0000-000095020000}"/>
              </a:ext>
            </a:extLst>
          </xdr:cNvPr>
          <xdr:cNvSpPr txBox="1"/>
        </xdr:nvSpPr>
        <xdr:spPr>
          <a:xfrm>
            <a:off x="25871170" y="185534300"/>
            <a:ext cx="6008146" cy="136779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may redirect you to some other government agency.</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could get lost in the bureaucratic shuffle. They again, and again.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may get a form letter response. Try again, then move 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Then have them refer you to an agency or nonprofit that does.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accountable. Follow up in a few days.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likely will mention all the restrictions they are under.</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Personally they might. If their institution let them act on their own.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sp macro="" textlink="">
        <xdr:nvSpPr>
          <xdr:cNvPr id="662" name="TextBox 89">
            <a:extLst>
              <a:ext uri="{FF2B5EF4-FFF2-40B4-BE49-F238E27FC236}">
                <a16:creationId xmlns:a16="http://schemas.microsoft.com/office/drawing/2014/main" id="{00000000-0008-0000-0000-000096020000}"/>
              </a:ext>
            </a:extLst>
          </xdr:cNvPr>
          <xdr:cNvSpPr txBox="1"/>
        </xdr:nvSpPr>
        <xdr:spPr>
          <a:xfrm>
            <a:off x="25869900" y="186900185"/>
            <a:ext cx="6008146" cy="13335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risk political damage if they disregard you.</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don’t mention you’re in their voting district, they just might.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are in their voting district, they will inevitably respond.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may forward you to the proper agency, even if not really helpful.</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you’re in their voting district, you can count on a follow-up.</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nailed their pain points, they just might show some excitement.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Unlikely without plenty of effort from you and your team.</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grpSp>
    <xdr:clientData/>
  </xdr:twoCellAnchor>
  <xdr:twoCellAnchor>
    <xdr:from>
      <xdr:col>14</xdr:col>
      <xdr:colOff>75901</xdr:colOff>
      <xdr:row>831</xdr:row>
      <xdr:rowOff>55882</xdr:rowOff>
    </xdr:from>
    <xdr:to>
      <xdr:col>26</xdr:col>
      <xdr:colOff>493059</xdr:colOff>
      <xdr:row>833</xdr:row>
      <xdr:rowOff>233682</xdr:rowOff>
    </xdr:to>
    <xdr:sp macro="" textlink="">
      <xdr:nvSpPr>
        <xdr:cNvPr id="667" name="TextBox 666">
          <a:extLst>
            <a:ext uri="{FF2B5EF4-FFF2-40B4-BE49-F238E27FC236}">
              <a16:creationId xmlns:a16="http://schemas.microsoft.com/office/drawing/2014/main" id="{00000000-0008-0000-0000-00009B020000}"/>
            </a:ext>
          </a:extLst>
        </xdr:cNvPr>
        <xdr:cNvSpPr txBox="1"/>
      </xdr:nvSpPr>
      <xdr:spPr>
        <a:xfrm>
          <a:off x="6306372" y="198840764"/>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 typically opt for avoidance unconsciously. This process illuminates those options, to compel Impactors to realize the consequences of their coercive influence.</a:t>
          </a:r>
        </a:p>
        <a:p>
          <a:r>
            <a:rPr lang="en-US" sz="1050" baseline="0">
              <a:latin typeface="Cambria" panose="02040503050406030204" pitchFamily="18" charset="0"/>
              <a:ea typeface="Cambria" panose="02040503050406030204" pitchFamily="18" charset="0"/>
            </a:rPr>
            <a:t>If you continue to [AVOIDANT OPTION], you will find it next to impossible to resolve needs. By speaking truth to power, you break the spell of such avoidance. </a:t>
          </a:r>
        </a:p>
      </xdr:txBody>
    </xdr:sp>
    <xdr:clientData/>
  </xdr:twoCellAnchor>
  <xdr:twoCellAnchor>
    <xdr:from>
      <xdr:col>14</xdr:col>
      <xdr:colOff>75901</xdr:colOff>
      <xdr:row>835</xdr:row>
      <xdr:rowOff>40941</xdr:rowOff>
    </xdr:from>
    <xdr:to>
      <xdr:col>26</xdr:col>
      <xdr:colOff>493059</xdr:colOff>
      <xdr:row>837</xdr:row>
      <xdr:rowOff>218741</xdr:rowOff>
    </xdr:to>
    <xdr:sp macro="" textlink="">
      <xdr:nvSpPr>
        <xdr:cNvPr id="673" name="TextBox 672">
          <a:extLst>
            <a:ext uri="{FF2B5EF4-FFF2-40B4-BE49-F238E27FC236}">
              <a16:creationId xmlns:a16="http://schemas.microsoft.com/office/drawing/2014/main" id="{00000000-0008-0000-0000-0000A1020000}"/>
            </a:ext>
          </a:extLst>
        </xdr:cNvPr>
        <xdr:cNvSpPr txBox="1"/>
      </xdr:nvSpPr>
      <xdr:spPr>
        <a:xfrm>
          <a:off x="6306372" y="199841823"/>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Your adversarial options likely erupt when you must stop the mounting pain. These can give you leverage. Impactors will likely prefer any conciliatory options you can offer.</a:t>
          </a:r>
        </a:p>
        <a:p>
          <a:r>
            <a:rPr lang="en-US" sz="1050" baseline="0">
              <a:latin typeface="Cambria" panose="02040503050406030204" pitchFamily="18" charset="0"/>
              <a:ea typeface="Cambria" panose="02040503050406030204" pitchFamily="18" charset="0"/>
            </a:rPr>
            <a:t>If you let yourself [ADVERSARIAL OPTION] to ease the pain, you risk damaging your chance to resolve your power impacted needs By engaging with power, you can remove that pain. </a:t>
          </a:r>
        </a:p>
      </xdr:txBody>
    </xdr:sp>
    <xdr:clientData/>
  </xdr:twoCellAnchor>
  <xdr:twoCellAnchor>
    <xdr:from>
      <xdr:col>14</xdr:col>
      <xdr:colOff>75901</xdr:colOff>
      <xdr:row>839</xdr:row>
      <xdr:rowOff>33470</xdr:rowOff>
    </xdr:from>
    <xdr:to>
      <xdr:col>26</xdr:col>
      <xdr:colOff>493059</xdr:colOff>
      <xdr:row>841</xdr:row>
      <xdr:rowOff>211270</xdr:rowOff>
    </xdr:to>
    <xdr:sp macro="" textlink="">
      <xdr:nvSpPr>
        <xdr:cNvPr id="681" name="TextBox 680">
          <a:extLst>
            <a:ext uri="{FF2B5EF4-FFF2-40B4-BE49-F238E27FC236}">
              <a16:creationId xmlns:a16="http://schemas.microsoft.com/office/drawing/2014/main" id="{00000000-0008-0000-0000-0000A9020000}"/>
            </a:ext>
          </a:extLst>
        </xdr:cNvPr>
        <xdr:cNvSpPr txBox="1"/>
      </xdr:nvSpPr>
      <xdr:spPr>
        <a:xfrm>
          <a:off x="6306372" y="200850352"/>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 leverge your conciliatory options as preferable to your avoidant and adversrial options. You both agree to address each </a:t>
          </a:r>
          <a:r>
            <a:rPr lang="en-US" sz="1050" baseline="0">
              <a:solidFill>
                <a:schemeClr val="dk1"/>
              </a:solidFill>
              <a:latin typeface="Cambria" panose="02040503050406030204" pitchFamily="18" charset="0"/>
              <a:ea typeface="Cambria" panose="02040503050406030204" pitchFamily="18" charset="0"/>
              <a:cs typeface="+mn-cs"/>
            </a:rPr>
            <a:t>other's affected needs for each to get beyond the pain.</a:t>
          </a:r>
        </a:p>
        <a:p>
          <a:r>
            <a:rPr lang="en-US" sz="1050" baseline="0">
              <a:solidFill>
                <a:schemeClr val="dk1"/>
              </a:solidFill>
              <a:latin typeface="Cambria" panose="02040503050406030204" pitchFamily="18" charset="0"/>
              <a:ea typeface="Cambria" panose="02040503050406030204" pitchFamily="18" charset="0"/>
              <a:cs typeface="+mn-cs"/>
            </a:rPr>
            <a:t>Power isn't really power unless it resolves needs. Otherwise it's just coercive force.  The more you both [CONCILIATORY OPTION], the closer you can reach your goal</a:t>
          </a:r>
          <a:r>
            <a:rPr lang="en-US" sz="1050" baseline="0">
              <a:latin typeface="Cambria" panose="02040503050406030204" pitchFamily="18" charset="0"/>
              <a:ea typeface="Cambria" panose="02040503050406030204" pitchFamily="18" charset="0"/>
            </a:rPr>
            <a:t>.</a:t>
          </a:r>
        </a:p>
      </xdr:txBody>
    </xdr:sp>
    <xdr:clientData/>
  </xdr:twoCellAnchor>
  <xdr:twoCellAnchor>
    <xdr:from>
      <xdr:col>0</xdr:col>
      <xdr:colOff>97117</xdr:colOff>
      <xdr:row>842</xdr:row>
      <xdr:rowOff>119529</xdr:rowOff>
    </xdr:from>
    <xdr:to>
      <xdr:col>13</xdr:col>
      <xdr:colOff>35970</xdr:colOff>
      <xdr:row>851</xdr:row>
      <xdr:rowOff>156359</xdr:rowOff>
    </xdr:to>
    <xdr:grpSp>
      <xdr:nvGrpSpPr>
        <xdr:cNvPr id="686" name="traffic light levels">
          <a:extLst>
            <a:ext uri="{FF2B5EF4-FFF2-40B4-BE49-F238E27FC236}">
              <a16:creationId xmlns:a16="http://schemas.microsoft.com/office/drawing/2014/main" id="{00000000-0008-0000-0000-0000AE020000}"/>
            </a:ext>
          </a:extLst>
        </xdr:cNvPr>
        <xdr:cNvGrpSpPr/>
      </xdr:nvGrpSpPr>
      <xdr:grpSpPr>
        <a:xfrm>
          <a:off x="97117" y="200464569"/>
          <a:ext cx="6088193" cy="2299970"/>
          <a:chOff x="0" y="0"/>
          <a:chExt cx="6086798" cy="2765832"/>
        </a:xfrm>
      </xdr:grpSpPr>
      <xdr:sp macro="" textlink="">
        <xdr:nvSpPr>
          <xdr:cNvPr id="690" name="Value Relating">
            <a:extLst>
              <a:ext uri="{FF2B5EF4-FFF2-40B4-BE49-F238E27FC236}">
                <a16:creationId xmlns:a16="http://schemas.microsoft.com/office/drawing/2014/main" id="{00000000-0008-0000-0000-0000B2020000}"/>
              </a:ext>
            </a:extLst>
          </xdr:cNvPr>
          <xdr:cNvSpPr txBox="1"/>
        </xdr:nvSpPr>
        <xdr:spPr>
          <a:xfrm>
            <a:off x="626602" y="99072"/>
            <a:ext cx="5460196" cy="26667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lIns="0" rIns="0" bIns="73152" rtlCol="0" anchor="b" anchorCtr="1"/>
          <a:lstStyle/>
          <a:p>
            <a:pPr marL="457200" marR="0" algn="ctr">
              <a:lnSpc>
                <a:spcPts val="1200"/>
              </a:lnSpc>
              <a:spcBef>
                <a:spcPts val="0"/>
              </a:spcBef>
              <a:spcAft>
                <a:spcPts val="800"/>
              </a:spcAft>
            </a:pPr>
            <a:r>
              <a:rPr lang="en-US" sz="1100" b="1">
                <a:solidFill>
                  <a:srgbClr val="00B05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Value</a:t>
            </a:r>
            <a:r>
              <a:rPr lang="en-US" sz="1100" b="1">
                <a:solidFill>
                  <a:srgbClr val="00000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 </a:t>
            </a:r>
            <a:r>
              <a:rPr lang="en-US" sz="1100" b="1">
                <a:solidFill>
                  <a:srgbClr val="7030A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Relating </a:t>
            </a:r>
            <a:r>
              <a:rPr lang="en-US" sz="1000" b="1">
                <a:solidFill>
                  <a:srgbClr val="595959"/>
                </a:solidFill>
                <a:effectLst/>
                <a:latin typeface="Tahoma" panose="020B0604030504040204" pitchFamily="34" charset="0"/>
                <a:ea typeface="Tahoma" panose="020B0604030504040204" pitchFamily="34" charset="0"/>
                <a:cs typeface="Times New Roman" panose="02020603050405020304" pitchFamily="18" charset="0"/>
              </a:rPr>
              <a:t>is currently the only provider of this service.</a:t>
            </a:r>
            <a:endParaRPr lang="en-US" sz="1100">
              <a:effectLst/>
              <a:ea typeface="Calibri" panose="020F0502020204030204" pitchFamily="34" charset="0"/>
              <a:cs typeface="Times New Roman" panose="02020603050405020304" pitchFamily="18" charset="0"/>
            </a:endParaRPr>
          </a:p>
        </xdr:txBody>
      </xdr:sp>
      <xdr:sp macro="" textlink="">
        <xdr:nvSpPr>
          <xdr:cNvPr id="691" name="Recover...">
            <a:extLst>
              <a:ext uri="{FF2B5EF4-FFF2-40B4-BE49-F238E27FC236}">
                <a16:creationId xmlns:a16="http://schemas.microsoft.com/office/drawing/2014/main" id="{00000000-0008-0000-0000-0000B3020000}"/>
              </a:ext>
            </a:extLst>
          </xdr:cNvPr>
          <xdr:cNvSpPr txBox="1"/>
        </xdr:nvSpPr>
        <xdr:spPr>
          <a:xfrm>
            <a:off x="1293818" y="106683"/>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Recover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First, Harmony Politics stops damage over political differences</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You set yourself apart from contentious partisans when you connect more deeply with each other’s affected needs. You go deeper to the underlying needs. You position yourself in high demand.</a:t>
            </a:r>
            <a:endParaRPr lang="en-US" sz="1100">
              <a:effectLst/>
              <a:ea typeface="Calibri" panose="020F0502020204030204" pitchFamily="34" charset="0"/>
              <a:cs typeface="Times New Roman" panose="02020603050405020304" pitchFamily="18" charset="0"/>
            </a:endParaRPr>
          </a:p>
        </xdr:txBody>
      </xdr:sp>
      <xdr:sp macro="" textlink="">
        <xdr:nvSpPr>
          <xdr:cNvPr id="700" name="Sustain...">
            <a:extLst>
              <a:ext uri="{FF2B5EF4-FFF2-40B4-BE49-F238E27FC236}">
                <a16:creationId xmlns:a16="http://schemas.microsoft.com/office/drawing/2014/main" id="{00000000-0008-0000-0000-0000BC020000}"/>
              </a:ext>
            </a:extLst>
          </xdr:cNvPr>
          <xdr:cNvSpPr txBox="1"/>
        </xdr:nvSpPr>
        <xdr:spPr>
          <a:xfrm>
            <a:off x="1293818" y="853443"/>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Sustain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Second, Harmony Politics slows damage between opposing sides</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You stand out as bridge </a:t>
            </a:r>
            <a:r>
              <a:rPr lang="en-US" sz="1000" spc="-1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builder between political sides. You have a team to grow into a enduring entity for spreading this love</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We need a healing unifier like you. How much must that be worth?</a:t>
            </a:r>
            <a:endParaRPr lang="en-US" sz="1100">
              <a:effectLst/>
              <a:ea typeface="Calibri" panose="020F0502020204030204" pitchFamily="34" charset="0"/>
              <a:cs typeface="Times New Roman" panose="02020603050405020304" pitchFamily="18" charset="0"/>
            </a:endParaRPr>
          </a:p>
        </xdr:txBody>
      </xdr:sp>
      <xdr:sp macro="" textlink="">
        <xdr:nvSpPr>
          <xdr:cNvPr id="702" name="Thrive...">
            <a:extLst>
              <a:ext uri="{FF2B5EF4-FFF2-40B4-BE49-F238E27FC236}">
                <a16:creationId xmlns:a16="http://schemas.microsoft.com/office/drawing/2014/main" id="{00000000-0008-0000-0000-0000BE020000}"/>
              </a:ext>
            </a:extLst>
          </xdr:cNvPr>
          <xdr:cNvSpPr txBox="1"/>
        </xdr:nvSpPr>
        <xdr:spPr>
          <a:xfrm>
            <a:off x="1293818" y="1600203"/>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Thrive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Lastly, Harmony Politics speeds up our untapped potential</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a:t>
            </a:r>
            <a:r>
              <a:rPr lang="en-US" sz="1000" spc="-1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You grow into a thriving force for</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spreading love. You establish routines for resolving affected needs on all sides to an issue. You position yourself as a go-to person to heal the land. How much is such love worth?</a:t>
            </a:r>
            <a:endParaRPr lang="en-US" sz="1100">
              <a:effectLst/>
              <a:ea typeface="Calibri" panose="020F0502020204030204" pitchFamily="34" charset="0"/>
              <a:cs typeface="Times New Roman" panose="02020603050405020304" pitchFamily="18" charset="0"/>
            </a:endParaRPr>
          </a:p>
        </xdr:txBody>
      </xdr:sp>
      <xdr:pic>
        <xdr:nvPicPr>
          <xdr:cNvPr id="707" name="traffic light pgn">
            <a:extLst>
              <a:ext uri="{FF2B5EF4-FFF2-40B4-BE49-F238E27FC236}">
                <a16:creationId xmlns:a16="http://schemas.microsoft.com/office/drawing/2014/main" id="{00000000-0008-0000-0000-0000C3020000}"/>
              </a:ext>
            </a:extLst>
          </xdr:cNvPr>
          <xdr:cNvPicPr>
            <a:picLocks noChangeAspect="1"/>
          </xdr:cNvPicPr>
        </xdr:nvPicPr>
        <xdr:blipFill rotWithShape="1">
          <a:blip xmlns:r="http://schemas.openxmlformats.org/officeDocument/2006/relationships" r:embed="rId6"/>
          <a:srcRect b="275"/>
          <a:stretch/>
        </xdr:blipFill>
        <xdr:spPr>
          <a:xfrm>
            <a:off x="0" y="0"/>
            <a:ext cx="1449327" cy="2758356"/>
          </a:xfrm>
          <a:prstGeom prst="rect">
            <a:avLst/>
          </a:prstGeom>
        </xdr:spPr>
      </xdr:pic>
    </xdr:grpSp>
    <xdr:clientData/>
  </xdr:twoCellAnchor>
  <xdr:twoCellAnchor>
    <xdr:from>
      <xdr:col>6</xdr:col>
      <xdr:colOff>171824</xdr:colOff>
      <xdr:row>898</xdr:row>
      <xdr:rowOff>254000</xdr:rowOff>
    </xdr:from>
    <xdr:to>
      <xdr:col>12</xdr:col>
      <xdr:colOff>277608</xdr:colOff>
      <xdr:row>907</xdr:row>
      <xdr:rowOff>22414</xdr:rowOff>
    </xdr:to>
    <xdr:grpSp>
      <xdr:nvGrpSpPr>
        <xdr:cNvPr id="68" name="praise sandwich">
          <a:extLst>
            <a:ext uri="{FF2B5EF4-FFF2-40B4-BE49-F238E27FC236}">
              <a16:creationId xmlns:a16="http://schemas.microsoft.com/office/drawing/2014/main" id="{00000000-0008-0000-0000-000044000000}"/>
            </a:ext>
          </a:extLst>
        </xdr:cNvPr>
        <xdr:cNvGrpSpPr/>
      </xdr:nvGrpSpPr>
      <xdr:grpSpPr>
        <a:xfrm>
          <a:off x="2800724" y="212996780"/>
          <a:ext cx="3123304" cy="1955354"/>
          <a:chOff x="3668060" y="213512399"/>
          <a:chExt cx="2423495" cy="1879003"/>
        </a:xfrm>
      </xdr:grpSpPr>
      <xdr:pic>
        <xdr:nvPicPr>
          <xdr:cNvPr id="773" name="3 fields">
            <a:extLst>
              <a:ext uri="{FF2B5EF4-FFF2-40B4-BE49-F238E27FC236}">
                <a16:creationId xmlns:a16="http://schemas.microsoft.com/office/drawing/2014/main" id="{00000000-0008-0000-0000-000005030000}"/>
              </a:ext>
            </a:extLst>
          </xdr:cNvPr>
          <xdr:cNvPicPr>
            <a:picLocks noChangeAspect="1"/>
          </xdr:cNvPicPr>
        </xdr:nvPicPr>
        <xdr:blipFill>
          <a:blip xmlns:r="http://schemas.openxmlformats.org/officeDocument/2006/relationships" r:embed="rId53"/>
          <a:stretch>
            <a:fillRect/>
          </a:stretch>
        </xdr:blipFill>
        <xdr:spPr>
          <a:xfrm>
            <a:off x="3685989" y="213512399"/>
            <a:ext cx="2405566" cy="1875119"/>
          </a:xfrm>
          <a:prstGeom prst="rect">
            <a:avLst/>
          </a:prstGeom>
        </xdr:spPr>
      </xdr:pic>
      <xdr:sp macro="" textlink="">
        <xdr:nvSpPr>
          <xdr:cNvPr id="780" name="translucent">
            <a:extLst>
              <a:ext uri="{FF2B5EF4-FFF2-40B4-BE49-F238E27FC236}">
                <a16:creationId xmlns:a16="http://schemas.microsoft.com/office/drawing/2014/main" id="{00000000-0008-0000-0000-00000C030000}"/>
              </a:ext>
            </a:extLst>
          </xdr:cNvPr>
          <xdr:cNvSpPr>
            <a:spLocks noChangeAspect="1"/>
          </xdr:cNvSpPr>
        </xdr:nvSpPr>
        <xdr:spPr>
          <a:xfrm>
            <a:off x="3668060" y="213516882"/>
            <a:ext cx="2418734" cy="1874520"/>
          </a:xfrm>
          <a:prstGeom prst="rect">
            <a:avLst/>
          </a:prstGeom>
          <a:blipFill dpi="0" rotWithShape="1">
            <a:blip xmlns:r="http://schemas.openxmlformats.org/officeDocument/2006/relationships" r:embed="rId54">
              <a:alphaModFix amt="25000"/>
            </a:blip>
            <a:srcRect/>
            <a:stretch>
              <a:fillRect/>
            </a:stretch>
          </a:bli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14</xdr:col>
      <xdr:colOff>102496</xdr:colOff>
      <xdr:row>426</xdr:row>
      <xdr:rowOff>182729</xdr:rowOff>
    </xdr:from>
    <xdr:to>
      <xdr:col>27</xdr:col>
      <xdr:colOff>18975</xdr:colOff>
      <xdr:row>459</xdr:row>
      <xdr:rowOff>79857</xdr:rowOff>
    </xdr:to>
    <xdr:sp macro="" textlink="">
      <xdr:nvSpPr>
        <xdr:cNvPr id="602" name="Rectangle 601">
          <a:extLst>
            <a:ext uri="{FF2B5EF4-FFF2-40B4-BE49-F238E27FC236}">
              <a16:creationId xmlns:a16="http://schemas.microsoft.com/office/drawing/2014/main" id="{00000000-0008-0000-0000-00005A020000}"/>
            </a:ext>
          </a:extLst>
        </xdr:cNvPr>
        <xdr:cNvSpPr/>
      </xdr:nvSpPr>
      <xdr:spPr>
        <a:xfrm>
          <a:off x="6366136" y="102633629"/>
          <a:ext cx="6065819" cy="7052308"/>
        </a:xfrm>
        <a:prstGeom prst="rect">
          <a:avLst/>
        </a:prstGeom>
        <a:solidFill>
          <a:srgbClr val="D2FFE6"/>
        </a:solidFill>
      </xdr:spPr>
      <xdr:txBody>
        <a:bodyPr wrap="square" lIns="0" tIns="0" rIns="0" bIns="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2000" b="1" cap="none" spc="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Q: How</a:t>
          </a: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 did politics turn so divisive? </a:t>
          </a:r>
        </a:p>
        <a:p>
          <a:pPr marL="0" marR="0" lvl="0" indent="0" algn="ctr" defTabSz="914400" eaLnBrk="1" fontAlgn="auto" latinLnBrk="0" hangingPunct="1">
            <a:lnSpc>
              <a:spcPct val="100000"/>
            </a:lnSpc>
            <a:spcBef>
              <a:spcPts val="0"/>
            </a:spcBef>
            <a:spcAft>
              <a:spcPts val="600"/>
            </a:spcAft>
            <a:buClrTx/>
            <a:buSzTx/>
            <a:buFontTx/>
            <a:buNone/>
            <a:tabLst/>
            <a:defRPr/>
          </a:pPr>
          <a:r>
            <a:rPr lang="en-US" sz="2000" b="1" cap="none" spc="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 Because politics is a </a:t>
          </a:r>
          <a:r>
            <a:rPr lang="en-US" sz="2000" b="1" i="1"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mass institution</a:t>
          </a:r>
          <a:r>
            <a:rPr lang="en-US" sz="2000" b="0" i="0"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a:t>
          </a:r>
        </a:p>
        <a:p>
          <a:pPr algn="l"/>
          <a:r>
            <a:rPr lang="en-US" sz="1600" b="1" cap="none" spc="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 </a:t>
          </a:r>
          <a:r>
            <a:rPr lang="en-US" sz="1600" b="1" cap="none" spc="0">
              <a:ln w="12700" cmpd="sng">
                <a:noFill/>
                <a:prstDash val="solid"/>
              </a:ln>
              <a:solidFill>
                <a:srgbClr val="00823C"/>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mass institution </a:t>
          </a:r>
          <a:r>
            <a:rPr lang="en-US" sz="1600" b="1" cap="none" spc="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serves needs which individuals or</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small </a:t>
          </a:r>
          <a:r>
            <a:rPr lang="en-US" sz="1600" b="1" cap="none" spc="-4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groups cannot address on their own. Politics organizes public </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resources to address such needs on a national scale. Every politicized need require societal cooperation.</a:t>
          </a:r>
        </a:p>
        <a:p>
          <a:pPr algn="l"/>
          <a:endPar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While largely helpful, </a:t>
          </a:r>
          <a:r>
            <a:rPr lang="en-US" sz="1600" b="1" cap="none" spc="-30">
              <a:ln w="12700" cmpd="sng">
                <a:noFill/>
                <a:prstDash val="solid"/>
              </a:ln>
              <a:solidFill>
                <a:srgbClr val="00823C"/>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mass institutions</a:t>
          </a:r>
          <a:r>
            <a:rPr lang="en-US" sz="1600" b="1" cap="none" spc="-3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a:t>
          </a:r>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feature some defects</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t>
          </a:r>
        </a:p>
        <a:p>
          <a:pPr marL="0" marR="0" lvl="0" indent="0" algn="l" defTabSz="914400" eaLnBrk="1" fontAlgn="auto" latinLnBrk="0" hangingPunct="1">
            <a:lnSpc>
              <a:spcPct val="100000"/>
            </a:lnSpc>
            <a:spcBef>
              <a:spcPts val="0"/>
            </a:spcBef>
            <a:spcAft>
              <a:spcPts val="0"/>
            </a:spcAft>
            <a:buClrTx/>
            <a:buSzTx/>
            <a:buFontTx/>
            <a:buNone/>
            <a:tabLst/>
            <a:defRPr/>
          </a:pPr>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1. MI's tend to rely on binary oppositions. It easily exaggerates your differences. Then pits you against others. </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2. MI's impose power relations. To address your need, you are pulled into </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3. don't know what they don't know</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4. general-over-specific</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5. relieve-over-resolve</a:t>
          </a:r>
          <a:endParaRPr lang="en-US" sz="1600" b="1" cap="none" spc="-3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Q: What can you do about divisive politics?</a:t>
          </a:r>
        </a:p>
        <a:p>
          <a:pPr algn="ctr">
            <a:spcAft>
              <a:spcPts val="600"/>
            </a:spcAft>
          </a:pP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 Replace it with </a:t>
          </a:r>
          <a:r>
            <a:rPr lang="en-US" sz="2000" b="1" i="1"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Harmony Politics</a:t>
          </a: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t>
          </a:r>
        </a:p>
        <a:p>
          <a:pPr algn="ct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After you discover this</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path of love to resolve needs, </a:t>
          </a: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ctr"/>
          <a:r>
            <a:rPr lang="en-US" sz="1600" b="1" cap="none" spc="0">
              <a:ln w="12700" cmpd="sng">
                <a:solidFill>
                  <a:srgbClr val="00823C"/>
                </a:solidFill>
                <a:prstDash val="solid"/>
              </a:ln>
              <a:solidFill>
                <a:srgbClr val="00B050"/>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Harmony</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 </a:t>
          </a:r>
          <a:r>
            <a:rPr lang="en-US" sz="1600" b="1" cap="none" spc="0">
              <a:ln w="12700" cmpd="sng">
                <a:solidFill>
                  <a:srgbClr val="780091"/>
                </a:solidFill>
                <a:prstDash val="solid"/>
              </a:ln>
              <a:solidFill>
                <a:srgbClr val="7030A0"/>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Politics</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 </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invites</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you on a journey to resolve your politicized needs.</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With or without the support of political leaders. </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 become the leader. </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Others see your need-resolving value and increasingly invest in your </a:t>
          </a:r>
          <a:r>
            <a:rPr lang="en-US" sz="1600" b="1" i="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cause</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to mutually resolve the politicized need. Ready? Read on to learn more.</a:t>
          </a: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107869</xdr:colOff>
      <xdr:row>426</xdr:row>
      <xdr:rowOff>190058</xdr:rowOff>
    </xdr:from>
    <xdr:to>
      <xdr:col>13</xdr:col>
      <xdr:colOff>24497</xdr:colOff>
      <xdr:row>459</xdr:row>
      <xdr:rowOff>152400</xdr:rowOff>
    </xdr:to>
    <xdr:sp macro="" textlink="">
      <xdr:nvSpPr>
        <xdr:cNvPr id="617" name="Rectangle 616">
          <a:extLst>
            <a:ext uri="{FF2B5EF4-FFF2-40B4-BE49-F238E27FC236}">
              <a16:creationId xmlns:a16="http://schemas.microsoft.com/office/drawing/2014/main" id="{00000000-0008-0000-0000-000069020000}"/>
            </a:ext>
          </a:extLst>
        </xdr:cNvPr>
        <xdr:cNvSpPr/>
      </xdr:nvSpPr>
      <xdr:spPr>
        <a:xfrm>
          <a:off x="107869" y="102640958"/>
          <a:ext cx="6065968" cy="7117522"/>
        </a:xfrm>
        <a:prstGeom prst="rect">
          <a:avLst/>
        </a:prstGeom>
        <a:noFill/>
      </xdr:spPr>
      <xdr:txBody>
        <a:bodyPr wrap="square" lIns="0" tIns="0" rIns="0" bIns="0">
          <a:noAutofit/>
        </a:bodyPr>
        <a:lstStyle/>
        <a:p>
          <a:pPr marL="0" marR="0" algn="ctr">
            <a:lnSpc>
              <a:spcPct val="100000"/>
            </a:lnSpc>
            <a:spcBef>
              <a:spcPts val="600"/>
            </a:spcBef>
            <a:spcAft>
              <a:spcPts val="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Q</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How did politics turn so divisive? </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60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Because politics is a </a:t>
          </a:r>
          <a:r>
            <a:rPr lang="en-US" sz="2000" b="1" i="1">
              <a:ln w="12700" cap="flat" cmpd="sng" algn="ctr">
                <a:noFill/>
                <a:prstDash val="solid"/>
                <a:round/>
              </a:ln>
              <a:solidFill>
                <a:srgbClr val="4B0064"/>
              </a:solidFill>
              <a:effectLst/>
              <a:latin typeface="Tahoma" panose="020B0604030504040204" pitchFamily="34" charset="0"/>
              <a:ea typeface="Tahoma" panose="020B0604030504040204" pitchFamily="34" charset="0"/>
              <a:cs typeface="Times New Roman" panose="02020603050405020304" pitchFamily="18" charset="0"/>
            </a:rPr>
            <a:t>mass institution</a:t>
          </a:r>
          <a:r>
            <a:rPr lang="en-US" sz="2000">
              <a:ln w="12700" cap="flat" cmpd="sng" algn="ctr">
                <a:noFill/>
                <a:prstDash val="solid"/>
                <a:round/>
              </a:ln>
              <a:solidFill>
                <a:srgbClr val="000000"/>
              </a:solidFill>
              <a:effectLst/>
              <a:latin typeface="Tahoma" panose="020B0604030504040204" pitchFamily="34" charset="0"/>
              <a:ea typeface="Tahoma" panose="020B0604030504040204" pitchFamily="34" charset="0"/>
              <a:cs typeface="Times New Roman" panose="02020603050405020304" pitchFamily="18" charset="0"/>
            </a:rPr>
            <a:t>.</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nSpc>
              <a:spcPct val="100000"/>
            </a:lnSpc>
            <a:spcBef>
              <a:spcPts val="0"/>
            </a:spcBef>
            <a:spcAft>
              <a:spcPts val="0"/>
            </a:spcAft>
          </a:pP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 </a:t>
          </a:r>
          <a:r>
            <a:rPr lang="en-US" sz="1600" b="1">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mass institution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serves needs which individuals or small </a:t>
          </a:r>
          <a:r>
            <a:rPr lang="en-US" sz="1600" b="1" spc="-4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groups cannot address on their own. Politics organizes public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resources to address such needs on a national scale. Every politicized need require societal cooperation.</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nSpc>
              <a:spcPct val="107000"/>
            </a:lnSpc>
            <a:spcBef>
              <a:spcPts val="0"/>
            </a:spcBef>
            <a:spcAft>
              <a:spcPts val="80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While largely helpful,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mass institutions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feature some defects</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1.	MI's often rely on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binary oppositions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It easily exaggerates your differences. Then pits you against others. </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2.	MI's impose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power relations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It pulls you into dependence on experts</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to address your needs.</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3.	MI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experts don't know what they don't know</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Nor</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do they ask enough. You fit their needs more than they fit yours.</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4.	Norms evolve to simply</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MI tasks. Generalizing displaces relevant specifics. </a:t>
          </a:r>
          <a:r>
            <a:rPr lang="en-US" sz="1600" b="1" spc="-30" baseline="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General-over-specifics</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5.	</a:t>
          </a:r>
          <a:r>
            <a:rPr lang="en-US" sz="1600" b="1" spc="-4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MIs often do more to relieve your pain than resolve</a:t>
          </a:r>
          <a:r>
            <a:rPr lang="en-US" sz="1600" b="1" spc="-4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needs </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that would remove that pain. </a:t>
          </a:r>
          <a:r>
            <a:rPr lang="en-US" sz="1600" b="1" spc="-30" baseline="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Relieve-over-resolve</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endParaRPr>
        </a:p>
        <a:p>
          <a:pPr marL="228600" marR="0" indent="-228600">
            <a:lnSpc>
              <a:spcPct val="100000"/>
            </a:lnSpc>
            <a:spcBef>
              <a:spcPts val="0"/>
            </a:spcBef>
            <a:spcAft>
              <a:spcPts val="0"/>
            </a:spcAft>
          </a:pP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600"/>
            </a:spcBef>
            <a:spcAft>
              <a:spcPts val="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Q</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What can you do about divisive politics?</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60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Replace it with </a:t>
          </a:r>
          <a:r>
            <a:rPr lang="en-US" sz="2000" b="1" i="1">
              <a:ln w="12700" cap="flat" cmpd="sng" algn="ctr">
                <a:noFill/>
                <a:prstDash val="solid"/>
                <a:round/>
              </a:ln>
              <a:solidFill>
                <a:srgbClr val="000000"/>
              </a:solidFill>
              <a:effectLst/>
              <a:latin typeface="Tahoma" panose="020B0604030504040204" pitchFamily="34" charset="0"/>
              <a:ea typeface="Tahoma" panose="020B0604030504040204" pitchFamily="34" charset="0"/>
              <a:cs typeface="Times New Roman" panose="02020603050405020304" pitchFamily="18" charset="0"/>
            </a:rPr>
            <a:t>Harmony Politics</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0"/>
            </a:spcAft>
          </a:pP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After you discover this path of love to resolve needs, </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0"/>
            </a:spcAft>
          </a:pPr>
          <a:r>
            <a:rPr lang="en-US" sz="1600" b="1">
              <a:ln>
                <a:noFill/>
              </a:ln>
              <a:solidFill>
                <a:srgbClr val="00B050"/>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Harmony</a:t>
          </a:r>
          <a:r>
            <a:rPr lang="en-US" sz="1600" b="1">
              <a:ln>
                <a:noFill/>
              </a:ln>
              <a:solidFill>
                <a:srgbClr val="2DFF87"/>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 </a:t>
          </a:r>
          <a:r>
            <a:rPr lang="en-US" sz="1600" b="1">
              <a:ln>
                <a:noFill/>
              </a:ln>
              <a:solidFill>
                <a:srgbClr val="7030A0"/>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Politics</a:t>
          </a:r>
          <a:r>
            <a:rPr lang="en-US" sz="1600" b="1">
              <a:ln>
                <a:noFill/>
              </a:ln>
              <a:solidFill>
                <a:srgbClr val="2DFF87"/>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invites you on a journey to resolve your politicized needs. With or without the support of political leaders. You become the leader. Others see your need-resolving value and increasingly invest in your </a:t>
          </a:r>
          <a:r>
            <a:rPr lang="en-US" sz="1600" b="1" i="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cause</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to mutually resolve the politicized need. Ready? Read on.</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34359</xdr:colOff>
      <xdr:row>900</xdr:row>
      <xdr:rowOff>92635</xdr:rowOff>
    </xdr:from>
    <xdr:to>
      <xdr:col>6</xdr:col>
      <xdr:colOff>112059</xdr:colOff>
      <xdr:row>906</xdr:row>
      <xdr:rowOff>194234</xdr:rowOff>
    </xdr:to>
    <xdr:sp macro="" textlink="">
      <xdr:nvSpPr>
        <xdr:cNvPr id="621" name="TextBox 620">
          <a:extLst>
            <a:ext uri="{FF2B5EF4-FFF2-40B4-BE49-F238E27FC236}">
              <a16:creationId xmlns:a16="http://schemas.microsoft.com/office/drawing/2014/main" id="{00000000-0008-0000-0000-00006D020000}"/>
            </a:ext>
          </a:extLst>
        </xdr:cNvPr>
        <xdr:cNvSpPr txBox="1"/>
      </xdr:nvSpPr>
      <xdr:spPr>
        <a:xfrm>
          <a:off x="146418" y="214461164"/>
          <a:ext cx="2580347" cy="14911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solidFill>
                <a:schemeClr val="dk1"/>
              </a:solidFill>
              <a:latin typeface="Cambria" panose="02040503050406030204" pitchFamily="18" charset="0"/>
              <a:ea typeface="Cambria" panose="02040503050406030204" pitchFamily="18" charset="0"/>
              <a:cs typeface="+mn-cs"/>
            </a:rPr>
            <a:t>Start where they are at. Then ease them into your new orientation of mutually and responsibly respecting each other's needs. You place a link to these terms in your email footer. Each phase raises the standard. Each phase mirrors the "</a:t>
          </a:r>
          <a:r>
            <a:rPr lang="en-US" sz="1200" b="1" i="0" baseline="0">
              <a:solidFill>
                <a:schemeClr val="dk1"/>
              </a:solidFill>
              <a:latin typeface="Cambria" panose="02040503050406030204" pitchFamily="18" charset="0"/>
              <a:ea typeface="Cambria" panose="02040503050406030204" pitchFamily="18" charset="0"/>
              <a:cs typeface="+mn-cs"/>
            </a:rPr>
            <a:t>praise sandwich</a:t>
          </a:r>
          <a:r>
            <a:rPr lang="en-US" sz="1200" baseline="0">
              <a:solidFill>
                <a:schemeClr val="dk1"/>
              </a:solidFill>
              <a:latin typeface="Cambria" panose="02040503050406030204" pitchFamily="18" charset="0"/>
              <a:ea typeface="Cambria" panose="02040503050406030204" pitchFamily="18" charset="0"/>
              <a:cs typeface="+mn-cs"/>
            </a:rPr>
            <a:t>" with a positive then a negative, concluding on a positive.</a:t>
          </a:r>
        </a:p>
      </xdr:txBody>
    </xdr:sp>
    <xdr:clientData/>
  </xdr:twoCellAnchor>
  <xdr:twoCellAnchor>
    <xdr:from>
      <xdr:col>1</xdr:col>
      <xdr:colOff>26888</xdr:colOff>
      <xdr:row>896</xdr:row>
      <xdr:rowOff>9860</xdr:rowOff>
    </xdr:from>
    <xdr:to>
      <xdr:col>13</xdr:col>
      <xdr:colOff>55575</xdr:colOff>
      <xdr:row>898</xdr:row>
      <xdr:rowOff>246528</xdr:rowOff>
    </xdr:to>
    <xdr:sp macro="" textlink="">
      <xdr:nvSpPr>
        <xdr:cNvPr id="623" name="TextBox 622">
          <a:extLst>
            <a:ext uri="{FF2B5EF4-FFF2-40B4-BE49-F238E27FC236}">
              <a16:creationId xmlns:a16="http://schemas.microsoft.com/office/drawing/2014/main" id="{00000000-0008-0000-0000-00006F020000}"/>
            </a:ext>
          </a:extLst>
        </xdr:cNvPr>
        <xdr:cNvSpPr txBox="1"/>
      </xdr:nvSpPr>
      <xdr:spPr>
        <a:xfrm>
          <a:off x="138947" y="213743389"/>
          <a:ext cx="6035040" cy="80443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You </a:t>
          </a:r>
          <a:r>
            <a:rPr lang="en-US" sz="1200" spc="-10" baseline="0">
              <a:solidFill>
                <a:schemeClr val="dk1"/>
              </a:solidFill>
              <a:latin typeface="Cambria" panose="02040503050406030204" pitchFamily="18" charset="0"/>
              <a:ea typeface="Cambria" panose="02040503050406030204" pitchFamily="18" charset="0"/>
              <a:cs typeface="+mn-cs"/>
            </a:rPr>
            <a:t>now set the conditions for how others best treat you. You speak truth to power by setting </a:t>
          </a:r>
          <a:r>
            <a:rPr lang="en-US" sz="1200" baseline="0">
              <a:solidFill>
                <a:schemeClr val="dk1"/>
              </a:solidFill>
              <a:latin typeface="Cambria" panose="02040503050406030204" pitchFamily="18" charset="0"/>
              <a:ea typeface="Cambria" panose="02040503050406030204" pitchFamily="18" charset="0"/>
              <a:cs typeface="+mn-cs"/>
            </a:rPr>
            <a:t>a </a:t>
          </a:r>
          <a:r>
            <a:rPr lang="en-US" sz="1200" spc="-10" baseline="0">
              <a:solidFill>
                <a:schemeClr val="dk1"/>
              </a:solidFill>
              <a:latin typeface="Cambria" panose="02040503050406030204" pitchFamily="18" charset="0"/>
              <a:ea typeface="Cambria" panose="02040503050406030204" pitchFamily="18" charset="0"/>
              <a:cs typeface="+mn-cs"/>
            </a:rPr>
            <a:t>higher standard grounded in love. You model how they are to act toward you by being </a:t>
          </a:r>
          <a:r>
            <a:rPr lang="en-US" sz="1200" baseline="0">
              <a:solidFill>
                <a:schemeClr val="dk1"/>
              </a:solidFill>
              <a:latin typeface="Cambria" panose="02040503050406030204" pitchFamily="18" charset="0"/>
              <a:ea typeface="Cambria" panose="02040503050406030204" pitchFamily="18" charset="0"/>
              <a:cs typeface="+mn-cs"/>
            </a:rPr>
            <a:t>more </a:t>
          </a:r>
          <a:r>
            <a:rPr lang="en-US" sz="1200" spc="-10" baseline="0">
              <a:solidFill>
                <a:schemeClr val="dk1"/>
              </a:solidFill>
              <a:latin typeface="Cambria" panose="02040503050406030204" pitchFamily="18" charset="0"/>
              <a:ea typeface="Cambria" panose="02040503050406030204" pitchFamily="18" charset="0"/>
              <a:cs typeface="+mn-cs"/>
            </a:rPr>
            <a:t>measurably responsive to their needs as they are to yours</a:t>
          </a:r>
          <a:r>
            <a:rPr lang="en-US" sz="1200" baseline="0">
              <a:solidFill>
                <a:schemeClr val="dk1"/>
              </a:solidFill>
              <a:latin typeface="Cambria" panose="02040503050406030204" pitchFamily="18" charset="0"/>
              <a:ea typeface="Cambria" panose="02040503050406030204" pitchFamily="18" charset="0"/>
              <a:cs typeface="+mn-cs"/>
            </a:rPr>
            <a:t>. You establish increasingly heavier terms in each phase of the campaign. See samples below, and its 'praise sandwich' summary.</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xdr:col>
      <xdr:colOff>0</xdr:colOff>
      <xdr:row>934</xdr:row>
      <xdr:rowOff>52295</xdr:rowOff>
    </xdr:from>
    <xdr:to>
      <xdr:col>13</xdr:col>
      <xdr:colOff>28687</xdr:colOff>
      <xdr:row>935</xdr:row>
      <xdr:rowOff>188259</xdr:rowOff>
    </xdr:to>
    <xdr:sp macro="" textlink="">
      <xdr:nvSpPr>
        <xdr:cNvPr id="599" name="TextBox 598">
          <a:extLst>
            <a:ext uri="{FF2B5EF4-FFF2-40B4-BE49-F238E27FC236}">
              <a16:creationId xmlns:a16="http://schemas.microsoft.com/office/drawing/2014/main" id="{45F0D94D-3723-4946-B1DF-A92E397917D2}"/>
            </a:ext>
          </a:extLst>
        </xdr:cNvPr>
        <xdr:cNvSpPr txBox="1"/>
      </xdr:nvSpPr>
      <xdr:spPr>
        <a:xfrm>
          <a:off x="116541" y="221417777"/>
          <a:ext cx="6052970" cy="5752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There is no free lunch. Everything comes with a cost. It's time to expose the costs of coersion. Poweful impactors need this data to improve their branding. And you will give it, for a price.  Now </a:t>
          </a:r>
          <a:r>
            <a:rPr lang="en-US" sz="1200" spc="-10" baseline="0">
              <a:solidFill>
                <a:schemeClr val="dk1"/>
              </a:solidFill>
              <a:latin typeface="Cambria" panose="02040503050406030204" pitchFamily="18" charset="0"/>
              <a:ea typeface="Cambria" panose="02040503050406030204" pitchFamily="18" charset="0"/>
              <a:cs typeface="+mn-cs"/>
            </a:rPr>
            <a:t>it is your turn to ask those coercing you against your will, "How much is it worth to you</a:t>
          </a:r>
          <a:r>
            <a:rPr lang="en-US" sz="1200" baseline="0">
              <a:solidFill>
                <a:schemeClr val="dk1"/>
              </a:solidFill>
              <a:latin typeface="Cambria" panose="02040503050406030204" pitchFamily="18" charset="0"/>
              <a:ea typeface="Cambria" panose="02040503050406030204" pitchFamily="18" charset="0"/>
              <a:cs typeface="+mn-cs"/>
            </a:rPr>
            <a:t>?"</a:t>
          </a:r>
        </a:p>
      </xdr:txBody>
    </xdr:sp>
    <xdr:clientData/>
  </xdr:twoCellAnchor>
  <xdr:twoCellAnchor>
    <xdr:from>
      <xdr:col>36</xdr:col>
      <xdr:colOff>1342</xdr:colOff>
      <xdr:row>932</xdr:row>
      <xdr:rowOff>36008</xdr:rowOff>
    </xdr:from>
    <xdr:to>
      <xdr:col>43</xdr:col>
      <xdr:colOff>40338</xdr:colOff>
      <xdr:row>934</xdr:row>
      <xdr:rowOff>433344</xdr:rowOff>
    </xdr:to>
    <xdr:sp macro="" textlink="">
      <xdr:nvSpPr>
        <xdr:cNvPr id="622" name="Text Box 367">
          <a:extLst>
            <a:ext uri="{FF2B5EF4-FFF2-40B4-BE49-F238E27FC236}">
              <a16:creationId xmlns:a16="http://schemas.microsoft.com/office/drawing/2014/main" id="{5E7B3EF9-71D5-494F-A7CD-00ECF17611EF}"/>
            </a:ext>
          </a:extLst>
        </xdr:cNvPr>
        <xdr:cNvSpPr txBox="1"/>
      </xdr:nvSpPr>
      <xdr:spPr>
        <a:xfrm>
          <a:off x="16899813" y="221087726"/>
          <a:ext cx="4306196" cy="711100"/>
        </a:xfrm>
        <a:prstGeom prst="rect">
          <a:avLst/>
        </a:prstGeom>
        <a:solidFill>
          <a:schemeClr val="accent4">
            <a:lumMod val="20000"/>
            <a:lumOff val="80000"/>
          </a:schemeClr>
        </a:solidFill>
        <a:ln w="6350">
          <a:solidFill>
            <a:prstClr val="black"/>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tabLst>
              <a:tab pos="3200400" algn="r"/>
            </a:tabLst>
          </a:pPr>
          <a:r>
            <a:rPr lang="en-US" sz="1200" b="1">
              <a:effectLst/>
              <a:latin typeface="Tahoma" panose="020B0604030504040204" pitchFamily="34" charset="0"/>
              <a:ea typeface="Tahoma" panose="020B0604030504040204" pitchFamily="34" charset="0"/>
              <a:cs typeface="Tahoma" panose="020B0604030504040204" pitchFamily="34" charset="0"/>
            </a:rPr>
            <a:t>Coersion cost; Cost in time; unit</a:t>
          </a:r>
          <a:r>
            <a:rPr lang="en-US" sz="1200" b="1" baseline="0">
              <a:effectLst/>
              <a:latin typeface="Tahoma" panose="020B0604030504040204" pitchFamily="34" charset="0"/>
              <a:ea typeface="Tahoma" panose="020B0604030504040204" pitchFamily="34" charset="0"/>
              <a:cs typeface="Tahoma" panose="020B0604030504040204" pitchFamily="34" charset="0"/>
            </a:rPr>
            <a:t> price; Calc amt</a:t>
          </a:r>
          <a:endParaRPr lang="en-US" sz="1200" b="1">
            <a:effectLst/>
            <a:latin typeface="Tahoma" panose="020B0604030504040204" pitchFamily="34" charset="0"/>
            <a:ea typeface="Tahoma" panose="020B0604030504040204" pitchFamily="34" charset="0"/>
            <a:cs typeface="Tahoma" panose="020B0604030504040204" pitchFamily="34" charset="0"/>
          </a:endParaRP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p>
      </xdr:txBody>
    </xdr:sp>
    <xdr:clientData/>
  </xdr:twoCellAnchor>
  <xdr:twoCellAnchor>
    <xdr:from>
      <xdr:col>1</xdr:col>
      <xdr:colOff>0</xdr:colOff>
      <xdr:row>969</xdr:row>
      <xdr:rowOff>159870</xdr:rowOff>
    </xdr:from>
    <xdr:to>
      <xdr:col>13</xdr:col>
      <xdr:colOff>28687</xdr:colOff>
      <xdr:row>972</xdr:row>
      <xdr:rowOff>152400</xdr:rowOff>
    </xdr:to>
    <xdr:sp macro="" textlink="">
      <xdr:nvSpPr>
        <xdr:cNvPr id="775" name="TextBox 774">
          <a:extLst>
            <a:ext uri="{FF2B5EF4-FFF2-40B4-BE49-F238E27FC236}">
              <a16:creationId xmlns:a16="http://schemas.microsoft.com/office/drawing/2014/main" id="{9F55B992-C3A4-4EA6-A1EE-F2C5D5F6D6B5}"/>
            </a:ext>
          </a:extLst>
        </xdr:cNvPr>
        <xdr:cNvSpPr txBox="1"/>
      </xdr:nvSpPr>
      <xdr:spPr>
        <a:xfrm>
          <a:off x="116541" y="229961141"/>
          <a:ext cx="6052970" cy="7455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Authority figures base their legitimacy on law, on representative democracy, and upon the idea they are essential for large-scale needs. Let them demonstrate their legitimacy to impact your life. Give your trust to those most responsive to your power-impacted needs. Withhold your trust from those who fail to pass an audit of their competitive legitimacy.</a:t>
          </a:r>
        </a:p>
      </xdr:txBody>
    </xdr:sp>
    <xdr:clientData/>
  </xdr:twoCellAnchor>
  <xdr:twoCellAnchor>
    <xdr:from>
      <xdr:col>1</xdr:col>
      <xdr:colOff>229627</xdr:colOff>
      <xdr:row>510</xdr:row>
      <xdr:rowOff>229945</xdr:rowOff>
    </xdr:from>
    <xdr:to>
      <xdr:col>12</xdr:col>
      <xdr:colOff>239005</xdr:colOff>
      <xdr:row>515</xdr:row>
      <xdr:rowOff>244161</xdr:rowOff>
    </xdr:to>
    <xdr:grpSp>
      <xdr:nvGrpSpPr>
        <xdr:cNvPr id="16" name="Group 15">
          <a:extLst>
            <a:ext uri="{FF2B5EF4-FFF2-40B4-BE49-F238E27FC236}">
              <a16:creationId xmlns:a16="http://schemas.microsoft.com/office/drawing/2014/main" id="{D9E2DC5F-977C-4F97-9F6A-41A763A3AF1D}"/>
            </a:ext>
          </a:extLst>
        </xdr:cNvPr>
        <xdr:cNvGrpSpPr/>
      </xdr:nvGrpSpPr>
      <xdr:grpSpPr>
        <a:xfrm>
          <a:off x="343927" y="122622385"/>
          <a:ext cx="5541498" cy="1271516"/>
          <a:chOff x="9480307" y="120747865"/>
          <a:chExt cx="5541498" cy="1271516"/>
        </a:xfrm>
      </xdr:grpSpPr>
      <xdr:sp macro="" textlink="">
        <xdr:nvSpPr>
          <xdr:cNvPr id="789" name="Text Box 2">
            <a:extLst>
              <a:ext uri="{FF2B5EF4-FFF2-40B4-BE49-F238E27FC236}">
                <a16:creationId xmlns:a16="http://schemas.microsoft.com/office/drawing/2014/main" id="{EA6B26B4-72D4-4D16-A894-00A1EC368055}"/>
              </a:ext>
            </a:extLst>
          </xdr:cNvPr>
          <xdr:cNvSpPr txBox="1"/>
        </xdr:nvSpPr>
        <xdr:spPr>
          <a:xfrm>
            <a:off x="12262757" y="120747865"/>
            <a:ext cx="2759048" cy="356328"/>
          </a:xfrm>
          <a:prstGeom prst="rect">
            <a:avLst/>
          </a:prstGeom>
          <a:solidFill>
            <a:srgbClr val="FF99FF">
              <a:alpha val="80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600" b="1">
                <a:solidFill>
                  <a:srgbClr val="7030A1"/>
                </a:solidFill>
                <a:effectLst/>
                <a:latin typeface="Tahoma" panose="020B0604030504040204" pitchFamily="34" charset="0"/>
                <a:ea typeface="Calibri" panose="020F0502020204030204" pitchFamily="34" charset="0"/>
              </a:rPr>
              <a:t>Powerful Impactor </a:t>
            </a:r>
            <a:r>
              <a:rPr lang="en-US" sz="1600" b="0">
                <a:solidFill>
                  <a:srgbClr val="7030A1"/>
                </a:solidFill>
                <a:effectLst/>
                <a:latin typeface="Tahoma" panose="020B0604030504040204" pitchFamily="34" charset="0"/>
                <a:ea typeface="Calibri" panose="020F0502020204030204" pitchFamily="34" charset="0"/>
              </a:rPr>
              <a:t>(AI)</a:t>
            </a:r>
            <a:endParaRPr lang="en-US" sz="1100" b="0">
              <a:effectLst/>
              <a:latin typeface="Tahoma" panose="020B0604030504040204" pitchFamily="34" charset="0"/>
              <a:ea typeface="Calibri" panose="020F0502020204030204" pitchFamily="34" charset="0"/>
            </a:endParaRPr>
          </a:p>
        </xdr:txBody>
      </xdr:sp>
      <xdr:sp macro="" textlink="">
        <xdr:nvSpPr>
          <xdr:cNvPr id="790" name="Text Box 3">
            <a:extLst>
              <a:ext uri="{FF2B5EF4-FFF2-40B4-BE49-F238E27FC236}">
                <a16:creationId xmlns:a16="http://schemas.microsoft.com/office/drawing/2014/main" id="{869AFB8A-8563-4099-9876-10CBB968943D}"/>
              </a:ext>
            </a:extLst>
          </xdr:cNvPr>
          <xdr:cNvSpPr txBox="1"/>
        </xdr:nvSpPr>
        <xdr:spPr>
          <a:xfrm>
            <a:off x="9480307" y="120747865"/>
            <a:ext cx="2759048" cy="356328"/>
          </a:xfrm>
          <a:prstGeom prst="rect">
            <a:avLst/>
          </a:prstGeom>
          <a:solidFill>
            <a:srgbClr val="99FF99">
              <a:alpha val="80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600" b="1">
                <a:solidFill>
                  <a:srgbClr val="00B050"/>
                </a:solidFill>
                <a:effectLst/>
                <a:latin typeface="Tahoma" panose="020B0604030504040204" pitchFamily="34" charset="0"/>
                <a:ea typeface="Calibri" panose="020F0502020204030204" pitchFamily="34" charset="0"/>
              </a:rPr>
              <a:t>Powerless Impactee</a:t>
            </a:r>
            <a:r>
              <a:rPr lang="en-US" sz="1600" b="1" baseline="0">
                <a:solidFill>
                  <a:srgbClr val="00B050"/>
                </a:solidFill>
                <a:effectLst/>
                <a:latin typeface="Tahoma" panose="020B0604030504040204" pitchFamily="34" charset="0"/>
                <a:ea typeface="Calibri" panose="020F0502020204030204" pitchFamily="34" charset="0"/>
              </a:rPr>
              <a:t> </a:t>
            </a:r>
            <a:r>
              <a:rPr lang="en-US" sz="1600" b="0" baseline="0">
                <a:solidFill>
                  <a:srgbClr val="00B050"/>
                </a:solidFill>
                <a:effectLst/>
                <a:latin typeface="Tahoma" panose="020B0604030504040204" pitchFamily="34" charset="0"/>
                <a:ea typeface="Calibri" panose="020F0502020204030204" pitchFamily="34" charset="0"/>
              </a:rPr>
              <a:t>(RI)</a:t>
            </a:r>
            <a:endParaRPr lang="en-US" sz="1100" b="0">
              <a:solidFill>
                <a:srgbClr val="00B050"/>
              </a:solidFill>
              <a:effectLst/>
              <a:latin typeface="Tahoma" panose="020B0604030504040204" pitchFamily="34" charset="0"/>
              <a:ea typeface="Calibri" panose="020F0502020204030204" pitchFamily="34" charset="0"/>
            </a:endParaRPr>
          </a:p>
        </xdr:txBody>
      </xdr:sp>
      <xdr:sp macro="" textlink="">
        <xdr:nvSpPr>
          <xdr:cNvPr id="797" name="Text Box 4">
            <a:extLst>
              <a:ext uri="{FF2B5EF4-FFF2-40B4-BE49-F238E27FC236}">
                <a16:creationId xmlns:a16="http://schemas.microsoft.com/office/drawing/2014/main" id="{DF0BBF40-9A22-44EE-9612-A6F76A537A68}"/>
              </a:ext>
            </a:extLst>
          </xdr:cNvPr>
          <xdr:cNvSpPr txBox="1"/>
        </xdr:nvSpPr>
        <xdr:spPr>
          <a:xfrm>
            <a:off x="12262757" y="121119356"/>
            <a:ext cx="2759048"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feels confident &amp; optimistic</a:t>
            </a:r>
          </a:p>
        </xdr:txBody>
      </xdr:sp>
      <xdr:sp macro="" textlink="">
        <xdr:nvSpPr>
          <xdr:cNvPr id="798" name="Text Box 5">
            <a:extLst>
              <a:ext uri="{FF2B5EF4-FFF2-40B4-BE49-F238E27FC236}">
                <a16:creationId xmlns:a16="http://schemas.microsoft.com/office/drawing/2014/main" id="{E8B4C39A-FA5D-4A79-988B-F2B15DBF75B4}"/>
              </a:ext>
            </a:extLst>
          </xdr:cNvPr>
          <xdr:cNvSpPr txBox="1"/>
        </xdr:nvSpPr>
        <xdr:spPr>
          <a:xfrm>
            <a:off x="9480307" y="121119356"/>
            <a:ext cx="2759048"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feels discouraged &amp; pessimistic</a:t>
            </a:r>
          </a:p>
        </xdr:txBody>
      </xdr:sp>
      <xdr:sp macro="" textlink="">
        <xdr:nvSpPr>
          <xdr:cNvPr id="799" name="Text Box 6">
            <a:extLst>
              <a:ext uri="{FF2B5EF4-FFF2-40B4-BE49-F238E27FC236}">
                <a16:creationId xmlns:a16="http://schemas.microsoft.com/office/drawing/2014/main" id="{5FBA3DBC-A26C-406F-82D1-B77EBA8E0539}"/>
              </a:ext>
            </a:extLst>
          </xdr:cNvPr>
          <xdr:cNvSpPr txBox="1"/>
        </xdr:nvSpPr>
        <xdr:spPr>
          <a:xfrm>
            <a:off x="12262757" y="121344633"/>
            <a:ext cx="2759048"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sees opportunities, not threats</a:t>
            </a:r>
          </a:p>
        </xdr:txBody>
      </xdr:sp>
      <xdr:sp macro="" textlink="">
        <xdr:nvSpPr>
          <xdr:cNvPr id="801" name="Text Box 7">
            <a:extLst>
              <a:ext uri="{FF2B5EF4-FFF2-40B4-BE49-F238E27FC236}">
                <a16:creationId xmlns:a16="http://schemas.microsoft.com/office/drawing/2014/main" id="{2392EACF-C9ED-49CD-8552-6BC976E555A3}"/>
              </a:ext>
            </a:extLst>
          </xdr:cNvPr>
          <xdr:cNvSpPr txBox="1"/>
        </xdr:nvSpPr>
        <xdr:spPr>
          <a:xfrm>
            <a:off x="9480307" y="121344633"/>
            <a:ext cx="2759048"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sees threats, not opportunities</a:t>
            </a:r>
          </a:p>
        </xdr:txBody>
      </xdr:sp>
      <xdr:sp macro="" textlink="">
        <xdr:nvSpPr>
          <xdr:cNvPr id="806" name="Text Box 12">
            <a:extLst>
              <a:ext uri="{FF2B5EF4-FFF2-40B4-BE49-F238E27FC236}">
                <a16:creationId xmlns:a16="http://schemas.microsoft.com/office/drawing/2014/main" id="{EC21C1F5-CE99-48CA-8A0B-5F77886E08BF}"/>
              </a:ext>
            </a:extLst>
          </xdr:cNvPr>
          <xdr:cNvSpPr txBox="1"/>
        </xdr:nvSpPr>
        <xdr:spPr>
          <a:xfrm>
            <a:off x="12262757" y="121572076"/>
            <a:ext cx="2758829"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approaches, not avoid</a:t>
            </a:r>
          </a:p>
        </xdr:txBody>
      </xdr:sp>
      <xdr:sp macro="" textlink="">
        <xdr:nvSpPr>
          <xdr:cNvPr id="807" name="Text Box 13">
            <a:extLst>
              <a:ext uri="{FF2B5EF4-FFF2-40B4-BE49-F238E27FC236}">
                <a16:creationId xmlns:a16="http://schemas.microsoft.com/office/drawing/2014/main" id="{82584DFC-07E1-45EC-AD27-93A6EC33F80B}"/>
              </a:ext>
            </a:extLst>
          </xdr:cNvPr>
          <xdr:cNvSpPr txBox="1"/>
        </xdr:nvSpPr>
        <xdr:spPr>
          <a:xfrm>
            <a:off x="9480307" y="121572076"/>
            <a:ext cx="2758829"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avoids, not approach</a:t>
            </a:r>
          </a:p>
        </xdr:txBody>
      </xdr:sp>
      <xdr:sp macro="" textlink="">
        <xdr:nvSpPr>
          <xdr:cNvPr id="810" name="Text Box 14">
            <a:extLst>
              <a:ext uri="{FF2B5EF4-FFF2-40B4-BE49-F238E27FC236}">
                <a16:creationId xmlns:a16="http://schemas.microsoft.com/office/drawing/2014/main" id="{0EFD9D10-86BB-4C40-B9D1-2780F5662BC5}"/>
              </a:ext>
            </a:extLst>
          </xdr:cNvPr>
          <xdr:cNvSpPr txBox="1"/>
        </xdr:nvSpPr>
        <xdr:spPr>
          <a:xfrm>
            <a:off x="12262757" y="121791938"/>
            <a:ext cx="2758829"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free to present authentic self</a:t>
            </a:r>
          </a:p>
        </xdr:txBody>
      </xdr:sp>
      <xdr:sp macro="" textlink="">
        <xdr:nvSpPr>
          <xdr:cNvPr id="811" name="Text Box 15">
            <a:extLst>
              <a:ext uri="{FF2B5EF4-FFF2-40B4-BE49-F238E27FC236}">
                <a16:creationId xmlns:a16="http://schemas.microsoft.com/office/drawing/2014/main" id="{9A8B5D6A-1B86-4BD1-A6CB-B0A857FCC3B3}"/>
              </a:ext>
            </a:extLst>
          </xdr:cNvPr>
          <xdr:cNvSpPr txBox="1"/>
        </xdr:nvSpPr>
        <xdr:spPr>
          <a:xfrm>
            <a:off x="9480307" y="121791938"/>
            <a:ext cx="2758829"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coerced to present social façade</a:t>
            </a:r>
          </a:p>
        </xdr:txBody>
      </xdr:sp>
    </xdr:grpSp>
    <xdr:clientData/>
  </xdr:twoCellAnchor>
  <xdr:twoCellAnchor>
    <xdr:from>
      <xdr:col>14</xdr:col>
      <xdr:colOff>91737</xdr:colOff>
      <xdr:row>1013</xdr:row>
      <xdr:rowOff>144032</xdr:rowOff>
    </xdr:from>
    <xdr:to>
      <xdr:col>27</xdr:col>
      <xdr:colOff>8365</xdr:colOff>
      <xdr:row>1022</xdr:row>
      <xdr:rowOff>0</xdr:rowOff>
    </xdr:to>
    <xdr:sp macro="" textlink="">
      <xdr:nvSpPr>
        <xdr:cNvPr id="163" name="TextBox 162">
          <a:extLst>
            <a:ext uri="{FF2B5EF4-FFF2-40B4-BE49-F238E27FC236}">
              <a16:creationId xmlns:a16="http://schemas.microsoft.com/office/drawing/2014/main" id="{00000000-0008-0000-0000-0000A3000000}"/>
            </a:ext>
          </a:extLst>
        </xdr:cNvPr>
        <xdr:cNvSpPr txBox="1"/>
      </xdr:nvSpPr>
      <xdr:spPr>
        <a:xfrm>
          <a:off x="6355377" y="238055672"/>
          <a:ext cx="6065968" cy="198194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0" baseline="0">
              <a:solidFill>
                <a:schemeClr val="dk1"/>
              </a:solidFill>
              <a:effectLst/>
              <a:latin typeface="Cambria" panose="02040503050406030204" pitchFamily="18" charset="0"/>
              <a:ea typeface="Cambria" panose="02040503050406030204" pitchFamily="18" charset="0"/>
              <a:cs typeface="+mn-cs"/>
            </a:rPr>
            <a:t>WELCOME to </a:t>
          </a:r>
          <a:r>
            <a:rPr lang="en-US" sz="1100" b="1" baseline="0">
              <a:solidFill>
                <a:schemeClr val="dk1"/>
              </a:solidFill>
              <a:effectLst/>
              <a:latin typeface="Cambria" panose="02040503050406030204" pitchFamily="18" charset="0"/>
              <a:ea typeface="Cambria" panose="02040503050406030204" pitchFamily="18" charset="0"/>
              <a:cs typeface="+mn-cs"/>
            </a:rPr>
            <a:t>Advocacy Support</a:t>
          </a:r>
          <a:r>
            <a:rPr lang="en-US" sz="1100" b="0" baseline="0">
              <a:solidFill>
                <a:schemeClr val="dk1"/>
              </a:solidFill>
              <a:effectLst/>
              <a:latin typeface="Cambria" panose="02040503050406030204" pitchFamily="18" charset="0"/>
              <a:ea typeface="Cambria" panose="02040503050406030204" pitchFamily="18" charset="0"/>
              <a:cs typeface="+mn-cs"/>
            </a:rPr>
            <a:t>, a new kind of service for empowering the powerless to speak truth to power. This is unlike anything you have ever seen. Together, we cut past political noise to address our overlooked needs with pioneering mutual respect.</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0" baseline="0">
              <a:solidFill>
                <a:schemeClr val="dk1"/>
              </a:solidFill>
              <a:effectLst/>
              <a:latin typeface="Cambria" panose="02040503050406030204" pitchFamily="18" charset="0"/>
              <a:ea typeface="Cambria" panose="02040503050406030204" pitchFamily="18" charset="0"/>
              <a:cs typeface="+mn-cs"/>
            </a:rPr>
            <a:t>We recognize the enemy is not each other of different political views, but political divisiveness itself. We build a bridge of love to address each other’s specific [ISSUE]-related needs. Including yours.</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0" baseline="0">
              <a:solidFill>
                <a:schemeClr val="dk1"/>
              </a:solidFill>
              <a:effectLst/>
              <a:latin typeface="Cambria" panose="02040503050406030204" pitchFamily="18" charset="0"/>
              <a:ea typeface="Cambria" panose="02040503050406030204" pitchFamily="18" charset="0"/>
              <a:cs typeface="+mn-cs"/>
            </a:rPr>
            <a:t>I invite you to join my campaign to resolve [ISSUE]-related needs. Join me in replacing divisive politics with the love of respecting the affected need on both sides of the [ISSUE] issue. You have [two] options. To follow or [support] [and sponsor].</a:t>
          </a:r>
        </a:p>
      </xdr:txBody>
    </xdr:sp>
    <xdr:clientData/>
  </xdr:twoCellAnchor>
  <xdr:twoCellAnchor>
    <xdr:from>
      <xdr:col>14</xdr:col>
      <xdr:colOff>52950</xdr:colOff>
      <xdr:row>1022</xdr:row>
      <xdr:rowOff>155374</xdr:rowOff>
    </xdr:from>
    <xdr:to>
      <xdr:col>26</xdr:col>
      <xdr:colOff>472440</xdr:colOff>
      <xdr:row>1034</xdr:row>
      <xdr:rowOff>15240</xdr:rowOff>
    </xdr:to>
    <xdr:sp macro="" textlink="">
      <xdr:nvSpPr>
        <xdr:cNvPr id="130" name="TextBox 129">
          <a:extLst>
            <a:ext uri="{FF2B5EF4-FFF2-40B4-BE49-F238E27FC236}">
              <a16:creationId xmlns:a16="http://schemas.microsoft.com/office/drawing/2014/main" id="{00000000-0008-0000-0000-000082000000}"/>
            </a:ext>
          </a:extLst>
        </xdr:cNvPr>
        <xdr:cNvSpPr txBox="1"/>
      </xdr:nvSpPr>
      <xdr:spPr>
        <a:xfrm>
          <a:off x="6316590" y="240192994"/>
          <a:ext cx="6065910" cy="270974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Follower </a:t>
          </a:r>
        </a:p>
        <a:p>
          <a:r>
            <a:rPr lang="en-US" sz="1100" b="0" baseline="0">
              <a:solidFill>
                <a:schemeClr val="dk1"/>
              </a:solidFill>
              <a:effectLst/>
              <a:latin typeface="Cambria" panose="02040503050406030204" pitchFamily="18" charset="0"/>
              <a:ea typeface="Cambria" panose="02040503050406030204" pitchFamily="18" charset="0"/>
              <a:cs typeface="+mn-cs"/>
            </a:rPr>
            <a:t>Follow for FREE. Receive exclusive updates to my progress. Give your input on my efforts. See how this process can work for you. </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1" baseline="0">
              <a:solidFill>
                <a:schemeClr val="dk1"/>
              </a:solidFill>
              <a:effectLst/>
              <a:latin typeface="Cambria" panose="02040503050406030204" pitchFamily="18" charset="0"/>
              <a:ea typeface="Cambria" panose="02040503050406030204" pitchFamily="18" charset="0"/>
              <a:cs typeface="+mn-cs"/>
            </a:rPr>
            <a:t>Supporter</a:t>
          </a:r>
        </a:p>
        <a:p>
          <a:r>
            <a:rPr lang="en-US" sz="1100" b="0" baseline="0">
              <a:solidFill>
                <a:schemeClr val="dk1"/>
              </a:solidFill>
              <a:effectLst/>
              <a:latin typeface="Cambria" panose="02040503050406030204" pitchFamily="18" charset="0"/>
              <a:ea typeface="Cambria" panose="02040503050406030204" pitchFamily="18" charset="0"/>
              <a:cs typeface="+mn-cs"/>
            </a:rPr>
            <a:t>Support my need-resolving campaign for only $5 each week. Give your input and vote on my efforts. Start speaking your own truth to political power.</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r>
            <a:rPr lang="en-US" sz="1100" b="1" baseline="0">
              <a:solidFill>
                <a:schemeClr val="dk1"/>
              </a:solidFill>
              <a:effectLst/>
              <a:latin typeface="Cambria" panose="02040503050406030204" pitchFamily="18" charset="0"/>
              <a:ea typeface="Cambria" panose="02040503050406030204" pitchFamily="18" charset="0"/>
              <a:cs typeface="+mn-cs"/>
            </a:rPr>
            <a:t>Sponsor</a:t>
          </a:r>
        </a:p>
        <a:p>
          <a:r>
            <a:rPr lang="en-US" sz="1100" b="0" baseline="0">
              <a:solidFill>
                <a:schemeClr val="dk1"/>
              </a:solidFill>
              <a:effectLst/>
              <a:latin typeface="Cambria" panose="02040503050406030204" pitchFamily="18" charset="0"/>
              <a:ea typeface="Cambria" panose="02040503050406030204" pitchFamily="18" charset="0"/>
              <a:cs typeface="+mn-cs"/>
            </a:rPr>
            <a:t>Sponsor my need-resolving campaign for only $20 each week. Boost your branding with this service empowering the politically powerless.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r>
            <a:rPr lang="en-US" sz="1100" b="1" baseline="0">
              <a:solidFill>
                <a:schemeClr val="dk1"/>
              </a:solidFill>
              <a:effectLst/>
              <a:latin typeface="Cambria" panose="02040503050406030204" pitchFamily="18" charset="0"/>
              <a:ea typeface="Cambria" panose="02040503050406030204" pitchFamily="18" charset="0"/>
              <a:cs typeface="+mn-cs"/>
            </a:rPr>
            <a:t>Patron</a:t>
          </a:r>
        </a:p>
        <a:p>
          <a:r>
            <a:rPr lang="en-US" sz="1100" b="0" baseline="0">
              <a:solidFill>
                <a:schemeClr val="dk1"/>
              </a:solidFill>
              <a:effectLst/>
              <a:latin typeface="Cambria" panose="02040503050406030204" pitchFamily="18" charset="0"/>
              <a:ea typeface="Cambria" panose="02040503050406030204" pitchFamily="18" charset="0"/>
              <a:cs typeface="+mn-cs"/>
            </a:rPr>
            <a:t>Become a patron to my need-resolving campaign by matching my current weekly level of support. Let's solve {[ISSUE]-related }needs together.</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14</xdr:col>
      <xdr:colOff>45330</xdr:colOff>
      <xdr:row>1034</xdr:row>
      <xdr:rowOff>167640</xdr:rowOff>
    </xdr:from>
    <xdr:to>
      <xdr:col>26</xdr:col>
      <xdr:colOff>464820</xdr:colOff>
      <xdr:row>1037</xdr:row>
      <xdr:rowOff>205740</xdr:rowOff>
    </xdr:to>
    <xdr:sp macro="" textlink="">
      <xdr:nvSpPr>
        <xdr:cNvPr id="819" name="TextBox 818">
          <a:extLst>
            <a:ext uri="{FF2B5EF4-FFF2-40B4-BE49-F238E27FC236}">
              <a16:creationId xmlns:a16="http://schemas.microsoft.com/office/drawing/2014/main" id="{E94CDAB1-EE92-456B-949E-0E68B0E16C24}"/>
            </a:ext>
          </a:extLst>
        </xdr:cNvPr>
        <xdr:cNvSpPr txBox="1"/>
      </xdr:nvSpPr>
      <xdr:spPr>
        <a:xfrm>
          <a:off x="6308970" y="243055140"/>
          <a:ext cx="6065910" cy="79248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0" baseline="0">
              <a:solidFill>
                <a:schemeClr val="dk1"/>
              </a:solidFill>
              <a:effectLst/>
              <a:latin typeface="Cambria" panose="02040503050406030204" pitchFamily="18" charset="0"/>
              <a:ea typeface="Cambria" panose="02040503050406030204" pitchFamily="18" charset="0"/>
              <a:cs typeface="+mn-cs"/>
            </a:rPr>
            <a:t>Help turn divisive politics into mutual respect for each other’s politicized needs. Choose which subscription fits you best. Click the link below to sign up to my campaign today. You have a week to try it out before you get billed. Then we are on our way to replace political hate with some much needed love.</a:t>
          </a:r>
        </a:p>
      </xdr:txBody>
    </xdr:sp>
    <xdr:clientData/>
  </xdr:twoCellAnchor>
  <xdr:twoCellAnchor>
    <xdr:from>
      <xdr:col>1</xdr:col>
      <xdr:colOff>7620</xdr:colOff>
      <xdr:row>1033</xdr:row>
      <xdr:rowOff>53340</xdr:rowOff>
    </xdr:from>
    <xdr:to>
      <xdr:col>13</xdr:col>
      <xdr:colOff>0</xdr:colOff>
      <xdr:row>1041</xdr:row>
      <xdr:rowOff>236220</xdr:rowOff>
    </xdr:to>
    <xdr:grpSp>
      <xdr:nvGrpSpPr>
        <xdr:cNvPr id="70" name="Group 69">
          <a:hlinkClick xmlns:r="http://schemas.openxmlformats.org/officeDocument/2006/relationships" r:id="rId55" tooltip="Go to Plans &amp; Pricing page at ValueRelating.com"/>
          <a:extLst>
            <a:ext uri="{FF2B5EF4-FFF2-40B4-BE49-F238E27FC236}">
              <a16:creationId xmlns:a16="http://schemas.microsoft.com/office/drawing/2014/main" id="{E6D5A929-500D-4F28-B098-388637758A4F}"/>
            </a:ext>
          </a:extLst>
        </xdr:cNvPr>
        <xdr:cNvGrpSpPr/>
      </xdr:nvGrpSpPr>
      <xdr:grpSpPr>
        <a:xfrm>
          <a:off x="121920" y="242689380"/>
          <a:ext cx="6027420" cy="2194560"/>
          <a:chOff x="121920" y="242788440"/>
          <a:chExt cx="6027420" cy="2194560"/>
        </a:xfrm>
      </xdr:grpSpPr>
      <xdr:sp macro="" textlink="">
        <xdr:nvSpPr>
          <xdr:cNvPr id="43" name="Rectangle 42">
            <a:extLst>
              <a:ext uri="{FF2B5EF4-FFF2-40B4-BE49-F238E27FC236}">
                <a16:creationId xmlns:a16="http://schemas.microsoft.com/office/drawing/2014/main" id="{EF1DB007-E261-4570-BA7B-6449A868F5E3}"/>
              </a:ext>
            </a:extLst>
          </xdr:cNvPr>
          <xdr:cNvSpPr/>
        </xdr:nvSpPr>
        <xdr:spPr>
          <a:xfrm>
            <a:off x="121920" y="242788440"/>
            <a:ext cx="1920240" cy="2194560"/>
          </a:xfrm>
          <a:prstGeom prst="rect">
            <a:avLst/>
          </a:prstGeom>
          <a:solidFill>
            <a:schemeClr val="bg1">
              <a:lumMod val="95000"/>
            </a:schemeClr>
          </a:solidFill>
          <a:ln>
            <a:noFill/>
          </a:ln>
          <a:effectLst>
            <a:outerShdw blurRad="381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Follower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0</a:t>
            </a:r>
          </a:p>
          <a:p>
            <a:pPr algn="ctr"/>
            <a:r>
              <a:rPr lang="en-US" sz="900" b="1">
                <a:solidFill>
                  <a:srgbClr val="780091"/>
                </a:solidFill>
                <a:latin typeface="Arial Narrow" panose="020B0606020202030204" pitchFamily="34" charset="0"/>
              </a:rPr>
              <a:t>Every week</a:t>
            </a:r>
          </a:p>
          <a:p>
            <a:pPr algn="ctr"/>
            <a:endParaRPr lang="en-US" sz="900" b="1">
              <a:solidFill>
                <a:srgbClr val="780091"/>
              </a:solidFill>
              <a:latin typeface="Arial Narrow" panose="020B0606020202030204" pitchFamily="34" charset="0"/>
            </a:endParaRPr>
          </a:p>
          <a:p>
            <a:pPr algn="ctr"/>
            <a:r>
              <a:rPr lang="en-US" sz="1050">
                <a:solidFill>
                  <a:srgbClr val="780091"/>
                </a:solidFill>
                <a:latin typeface="Arial Narrow" panose="020B0606020202030204" pitchFamily="34" charset="0"/>
              </a:rPr>
              <a:t>Sign up to follow your friend boldly stand up to power.</a:t>
            </a:r>
          </a:p>
          <a:p>
            <a:pPr algn="ctr"/>
            <a:endParaRPr lang="en-US" sz="1000">
              <a:solidFill>
                <a:schemeClr val="tx1">
                  <a:lumMod val="65000"/>
                  <a:lumOff val="35000"/>
                </a:schemeClr>
              </a:solidFill>
            </a:endParaRPr>
          </a:p>
          <a:p>
            <a:pPr algn="ctr"/>
            <a:r>
              <a:rPr lang="en-US" sz="1000">
                <a:solidFill>
                  <a:schemeClr val="tx1">
                    <a:lumMod val="65000"/>
                    <a:lumOff val="35000"/>
                  </a:schemeClr>
                </a:solidFill>
              </a:rPr>
              <a:t>Free Plan</a:t>
            </a: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6" name="Rectangle 815">
            <a:extLst>
              <a:ext uri="{FF2B5EF4-FFF2-40B4-BE49-F238E27FC236}">
                <a16:creationId xmlns:a16="http://schemas.microsoft.com/office/drawing/2014/main" id="{D2B57590-0E41-41BB-AC33-A48E3F776240}"/>
              </a:ext>
            </a:extLst>
          </xdr:cNvPr>
          <xdr:cNvSpPr/>
        </xdr:nvSpPr>
        <xdr:spPr>
          <a:xfrm>
            <a:off x="2179320" y="242788440"/>
            <a:ext cx="1920240" cy="2194560"/>
          </a:xfrm>
          <a:prstGeom prst="rect">
            <a:avLst/>
          </a:prstGeom>
          <a:solidFill>
            <a:schemeClr val="bg1">
              <a:lumMod val="95000"/>
            </a:schemeClr>
          </a:solidFill>
          <a:ln>
            <a:noFill/>
          </a:ln>
          <a:effectLst>
            <a:outerShdw blurRad="635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Supporter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5</a:t>
            </a:r>
          </a:p>
          <a:p>
            <a:pPr algn="ctr"/>
            <a:r>
              <a:rPr lang="en-US" sz="900" b="1">
                <a:solidFill>
                  <a:srgbClr val="780091"/>
                </a:solidFill>
                <a:latin typeface="Arial Narrow" panose="020B0606020202030204" pitchFamily="34" charset="0"/>
                <a:ea typeface="+mn-ea"/>
                <a:cs typeface="+mn-cs"/>
              </a:rPr>
              <a:t>Every week</a:t>
            </a:r>
          </a:p>
          <a:p>
            <a:pPr algn="ctr"/>
            <a:endParaRPr lang="en-US" sz="900" b="1">
              <a:solidFill>
                <a:srgbClr val="780091"/>
              </a:solidFill>
              <a:latin typeface="Arial Narrow" panose="020B0606020202030204" pitchFamily="34" charset="0"/>
              <a:ea typeface="+mn-ea"/>
              <a:cs typeface="+mn-cs"/>
            </a:endParaRPr>
          </a:p>
          <a:p>
            <a:pPr algn="ctr"/>
            <a:r>
              <a:rPr lang="en-US" sz="1050">
                <a:solidFill>
                  <a:srgbClr val="780091"/>
                </a:solidFill>
                <a:latin typeface="Arial Narrow" panose="020B0606020202030204" pitchFamily="34" charset="0"/>
                <a:ea typeface="+mn-ea"/>
                <a:cs typeface="+mn-cs"/>
              </a:rPr>
              <a:t>Share cost</a:t>
            </a:r>
            <a:r>
              <a:rPr lang="en-US" sz="1050">
                <a:solidFill>
                  <a:srgbClr val="00B050"/>
                </a:solidFill>
                <a:latin typeface="Arial Narrow" panose="020B0606020202030204" pitchFamily="34" charset="0"/>
                <a:ea typeface="+mn-ea"/>
                <a:cs typeface="+mn-cs"/>
              </a:rPr>
              <a:t>s</a:t>
            </a:r>
            <a:r>
              <a:rPr lang="en-US" sz="1050">
                <a:solidFill>
                  <a:srgbClr val="780091"/>
                </a:solidFill>
                <a:latin typeface="Arial Narrow" panose="020B0606020202030204" pitchFamily="34" charset="0"/>
                <a:ea typeface="+mn-ea"/>
                <a:cs typeface="+mn-cs"/>
              </a:rPr>
              <a:t> and returns of your friend standing up to power.</a:t>
            </a:r>
          </a:p>
          <a:p>
            <a:pPr algn="ctr"/>
            <a:endParaRPr lang="en-US" sz="1000">
              <a:solidFill>
                <a:schemeClr val="tx1">
                  <a:lumMod val="65000"/>
                  <a:lumOff val="35000"/>
                </a:schemeClr>
              </a:solidFill>
            </a:endParaRPr>
          </a:p>
          <a:p>
            <a:pPr algn="ctr"/>
            <a:r>
              <a:rPr lang="en-US" sz="1000">
                <a:solidFill>
                  <a:srgbClr val="00B050"/>
                </a:solidFill>
              </a:rPr>
              <a:t>7</a:t>
            </a:r>
            <a:r>
              <a:rPr lang="en-US" sz="1000">
                <a:solidFill>
                  <a:schemeClr val="tx1">
                    <a:lumMod val="65000"/>
                    <a:lumOff val="35000"/>
                  </a:schemeClr>
                </a:solidFill>
              </a:rPr>
              <a:t> day</a:t>
            </a:r>
            <a:r>
              <a:rPr lang="en-US" sz="1000" baseline="0">
                <a:solidFill>
                  <a:schemeClr val="tx1">
                    <a:lumMod val="65000"/>
                    <a:lumOff val="35000"/>
                  </a:schemeClr>
                </a:solidFill>
              </a:rPr>
              <a:t> free trial</a:t>
            </a:r>
            <a:endParaRPr lang="en-US" sz="1000">
              <a:solidFill>
                <a:schemeClr val="tx1">
                  <a:lumMod val="65000"/>
                  <a:lumOff val="35000"/>
                </a:schemeClr>
              </a:solidFill>
            </a:endParaRP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7" name="Rectangle 816">
            <a:extLst>
              <a:ext uri="{FF2B5EF4-FFF2-40B4-BE49-F238E27FC236}">
                <a16:creationId xmlns:a16="http://schemas.microsoft.com/office/drawing/2014/main" id="{FEF373F4-8874-4FA1-ADC8-7D9754322065}"/>
              </a:ext>
            </a:extLst>
          </xdr:cNvPr>
          <xdr:cNvSpPr/>
        </xdr:nvSpPr>
        <xdr:spPr>
          <a:xfrm>
            <a:off x="4229100" y="242788440"/>
            <a:ext cx="1920240" cy="2194560"/>
          </a:xfrm>
          <a:prstGeom prst="rect">
            <a:avLst/>
          </a:prstGeom>
          <a:solidFill>
            <a:schemeClr val="bg1">
              <a:lumMod val="95000"/>
            </a:schemeClr>
          </a:solidFill>
          <a:ln>
            <a:noFill/>
          </a:ln>
          <a:effectLst>
            <a:outerShdw blurRad="635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Supporter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10</a:t>
            </a:r>
          </a:p>
          <a:p>
            <a:pPr algn="ctr"/>
            <a:r>
              <a:rPr lang="en-US" sz="900" b="1">
                <a:solidFill>
                  <a:srgbClr val="780091"/>
                </a:solidFill>
                <a:latin typeface="Arial Narrow" panose="020B0606020202030204" pitchFamily="34" charset="0"/>
                <a:ea typeface="+mn-ea"/>
                <a:cs typeface="+mn-cs"/>
              </a:rPr>
              <a:t>Every week</a:t>
            </a:r>
          </a:p>
          <a:p>
            <a:pPr algn="ctr"/>
            <a:endParaRPr lang="en-US" sz="900" b="1">
              <a:solidFill>
                <a:srgbClr val="780091"/>
              </a:solidFill>
              <a:latin typeface="Arial Narrow" panose="020B0606020202030204" pitchFamily="34" charset="0"/>
              <a:ea typeface="+mn-ea"/>
              <a:cs typeface="+mn-cs"/>
            </a:endParaRPr>
          </a:p>
          <a:p>
            <a:pPr algn="ctr"/>
            <a:r>
              <a:rPr lang="en-US" sz="1050">
                <a:solidFill>
                  <a:srgbClr val="780091"/>
                </a:solidFill>
                <a:latin typeface="Arial Narrow" panose="020B0606020202030204" pitchFamily="34" charset="0"/>
                <a:ea typeface="+mn-ea"/>
                <a:cs typeface="+mn-cs"/>
              </a:rPr>
              <a:t>If a good fit for this service, let's prepare your campaign.</a:t>
            </a:r>
          </a:p>
          <a:p>
            <a:pPr algn="ctr"/>
            <a:endParaRPr lang="en-US" sz="1000">
              <a:solidFill>
                <a:schemeClr val="tx1">
                  <a:lumMod val="65000"/>
                  <a:lumOff val="35000"/>
                </a:schemeClr>
              </a:solidFill>
            </a:endParaRPr>
          </a:p>
          <a:p>
            <a:pPr algn="ctr"/>
            <a:r>
              <a:rPr lang="en-US" sz="1000">
                <a:solidFill>
                  <a:schemeClr val="tx1">
                    <a:lumMod val="65000"/>
                    <a:lumOff val="35000"/>
                  </a:schemeClr>
                </a:solidFill>
              </a:rPr>
              <a:t>7 day</a:t>
            </a:r>
            <a:r>
              <a:rPr lang="en-US" sz="1000" baseline="0">
                <a:solidFill>
                  <a:schemeClr val="tx1">
                    <a:lumMod val="65000"/>
                    <a:lumOff val="35000"/>
                  </a:schemeClr>
                </a:solidFill>
              </a:rPr>
              <a:t> free trial</a:t>
            </a:r>
            <a:endParaRPr lang="en-US" sz="1000">
              <a:solidFill>
                <a:schemeClr val="tx1">
                  <a:lumMod val="65000"/>
                  <a:lumOff val="35000"/>
                </a:schemeClr>
              </a:solidFill>
            </a:endParaRP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3" name="Rectangle: Rounded Corners 812">
            <a:extLst>
              <a:ext uri="{FF2B5EF4-FFF2-40B4-BE49-F238E27FC236}">
                <a16:creationId xmlns:a16="http://schemas.microsoft.com/office/drawing/2014/main" id="{06E0F9F1-941A-4B0A-AB71-2B60D94E0F73}"/>
              </a:ext>
            </a:extLst>
          </xdr:cNvPr>
          <xdr:cNvSpPr/>
        </xdr:nvSpPr>
        <xdr:spPr>
          <a:xfrm>
            <a:off x="234696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Start Free Trial</a:t>
            </a:r>
          </a:p>
        </xdr:txBody>
      </xdr:sp>
      <xdr:sp macro="" textlink="">
        <xdr:nvSpPr>
          <xdr:cNvPr id="814" name="Rectangle: Rounded Corners 813">
            <a:extLst>
              <a:ext uri="{FF2B5EF4-FFF2-40B4-BE49-F238E27FC236}">
                <a16:creationId xmlns:a16="http://schemas.microsoft.com/office/drawing/2014/main" id="{1EA27027-099B-498D-8177-367E7036941D}"/>
              </a:ext>
            </a:extLst>
          </xdr:cNvPr>
          <xdr:cNvSpPr/>
        </xdr:nvSpPr>
        <xdr:spPr>
          <a:xfrm>
            <a:off x="438912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Start Free Trial</a:t>
            </a:r>
          </a:p>
        </xdr:txBody>
      </xdr:sp>
      <xdr:sp macro="" textlink="">
        <xdr:nvSpPr>
          <xdr:cNvPr id="812" name="Rectangle: Rounded Corners 811">
            <a:extLst>
              <a:ext uri="{FF2B5EF4-FFF2-40B4-BE49-F238E27FC236}">
                <a16:creationId xmlns:a16="http://schemas.microsoft.com/office/drawing/2014/main" id="{8F2177DE-325F-4500-BBD4-04CFCFD695E2}"/>
              </a:ext>
            </a:extLst>
          </xdr:cNvPr>
          <xdr:cNvSpPr/>
        </xdr:nvSpPr>
        <xdr:spPr>
          <a:xfrm>
            <a:off x="28194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Select to Start</a:t>
            </a:r>
          </a:p>
        </xdr:txBody>
      </xdr:sp>
    </xdr:grpSp>
    <xdr:clientData/>
  </xdr:twoCellAnchor>
  <xdr:twoCellAnchor editAs="oneCell">
    <xdr:from>
      <xdr:col>1</xdr:col>
      <xdr:colOff>22859</xdr:colOff>
      <xdr:row>1047</xdr:row>
      <xdr:rowOff>15239</xdr:rowOff>
    </xdr:from>
    <xdr:to>
      <xdr:col>12</xdr:col>
      <xdr:colOff>485452</xdr:colOff>
      <xdr:row>1057</xdr:row>
      <xdr:rowOff>3680</xdr:rowOff>
    </xdr:to>
    <xdr:pic>
      <xdr:nvPicPr>
        <xdr:cNvPr id="825" name="Picture 824">
          <a:extLst>
            <a:ext uri="{FF2B5EF4-FFF2-40B4-BE49-F238E27FC236}">
              <a16:creationId xmlns:a16="http://schemas.microsoft.com/office/drawing/2014/main" id="{053322CC-A237-4B5F-B43A-8F34F65F2C7B}"/>
            </a:ext>
          </a:extLst>
        </xdr:cNvPr>
        <xdr:cNvPicPr>
          <a:picLocks noChangeAspect="1"/>
        </xdr:cNvPicPr>
      </xdr:nvPicPr>
      <xdr:blipFill rotWithShape="1">
        <a:blip xmlns:r="http://schemas.openxmlformats.org/officeDocument/2006/relationships" r:embed="rId56"/>
        <a:srcRect t="8594" r="1191" b="25621"/>
        <a:stretch/>
      </xdr:blipFill>
      <xdr:spPr>
        <a:xfrm>
          <a:off x="140090" y="246164685"/>
          <a:ext cx="6007608" cy="2250995"/>
        </a:xfrm>
        <a:prstGeom prst="rect">
          <a:avLst/>
        </a:prstGeom>
      </xdr:spPr>
    </xdr:pic>
    <xdr:clientData/>
  </xdr:twoCellAnchor>
  <xdr:twoCellAnchor>
    <xdr:from>
      <xdr:col>1</xdr:col>
      <xdr:colOff>30480</xdr:colOff>
      <xdr:row>1057</xdr:row>
      <xdr:rowOff>22860</xdr:rowOff>
    </xdr:from>
    <xdr:to>
      <xdr:col>12</xdr:col>
      <xdr:colOff>472440</xdr:colOff>
      <xdr:row>1066</xdr:row>
      <xdr:rowOff>241300</xdr:rowOff>
    </xdr:to>
    <xdr:sp macro="" textlink="">
      <xdr:nvSpPr>
        <xdr:cNvPr id="831" name="Text Box 357">
          <a:extLst>
            <a:ext uri="{FF2B5EF4-FFF2-40B4-BE49-F238E27FC236}">
              <a16:creationId xmlns:a16="http://schemas.microsoft.com/office/drawing/2014/main" id="{8C112142-735E-4933-BE4F-E78B756723BE}"/>
            </a:ext>
          </a:extLst>
        </xdr:cNvPr>
        <xdr:cNvSpPr txBox="1"/>
      </xdr:nvSpPr>
      <xdr:spPr>
        <a:xfrm>
          <a:off x="144780" y="248358660"/>
          <a:ext cx="5974080" cy="2352040"/>
        </a:xfrm>
        <a:prstGeom prst="rect">
          <a:avLst/>
        </a:prstGeom>
        <a:solidFill>
          <a:srgbClr val="FFE1FF"/>
        </a:solidFill>
        <a:ln w="12700">
          <a:solidFill>
            <a:schemeClr val="bg1"/>
          </a:solidFill>
        </a:ln>
        <a:effectLst>
          <a:outerShdw blurRad="25400" dist="12700" dir="5400000" algn="t" rotWithShape="0">
            <a:srgbClr val="780091">
              <a:alpha val="80000"/>
            </a:srgbClr>
          </a:outerShdw>
        </a:effectLst>
      </xdr:spPr>
      <xdr:txBody>
        <a:bodyPr rot="0" spcFirstLastPara="0" vert="horz" wrap="square" lIns="91440" tIns="91440" rIns="91440" bIns="45720" numCol="1" spcCol="0" rtlCol="0" fromWordArt="0" anchor="t" anchorCtr="0" forceAA="0" compatLnSpc="1">
          <a:prstTxWarp prst="textNoShape">
            <a:avLst/>
          </a:prstTxWarp>
          <a:noAutofit/>
        </a:bodyPr>
        <a:lstStyle/>
        <a:p>
          <a:pPr marL="0" marR="0">
            <a:spcBef>
              <a:spcPts val="0"/>
            </a:spcBef>
            <a:spcAft>
              <a:spcPts val="1200"/>
            </a:spcAft>
          </a:pPr>
          <a:r>
            <a:rPr lang="en-US" sz="1200" b="1">
              <a:effectLst/>
              <a:latin typeface="Tahoma" panose="020B0604030504040204" pitchFamily="34" charset="0"/>
              <a:ea typeface="Tahoma" panose="020B0604030504040204" pitchFamily="34" charset="0"/>
              <a:cs typeface="Times New Roman" panose="02020603050405020304" pitchFamily="18" charset="0"/>
            </a:rPr>
            <a:t>To start your own 'cause campaign' to resolve politically affected needs...</a:t>
          </a:r>
          <a:endParaRPr lang="en-US" sz="1200">
            <a:effectLst/>
            <a:latin typeface="Cambria Math" panose="02040503050406030204" pitchFamily="18" charset="0"/>
            <a:ea typeface="Times New Roman" panose="02020603050405020304" pitchFamily="18" charset="0"/>
            <a:cs typeface="Times New Roman" panose="02020603050405020304" pitchFamily="18" charset="0"/>
          </a:endParaRP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1. Go to ValueRelating.com/harmony-politics.</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2. Scroll down to</a:t>
          </a:r>
          <a:r>
            <a:rPr lang="en-US" sz="1100" b="1">
              <a:effectLst/>
              <a:latin typeface="Calibri" panose="020F0502020204030204" pitchFamily="34" charset="0"/>
              <a:ea typeface="Times New Roman" panose="02020603050405020304" pitchFamily="18" charset="0"/>
              <a:cs typeface="Times New Roman" panose="02020603050405020304" pitchFamily="18" charset="0"/>
            </a:rPr>
            <a:t> NEED A HAND TO APPLY THIS?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3. Click on the 'Join or start your own advocacy campaign' button.</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4. Click the purple button that best fits you:</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'Select to Start'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follow</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 campaign.</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'Start Free Trial'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support</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or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lead</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 campaign.</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'JOIN CAMPAIGN' button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sponsor</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or be a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patron</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to a campaign.</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5. Sign up (or login), and follow any further instructions.</a:t>
          </a: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WELCOME to a new way to create meaningful political change, grounded in love. And thank you for spreading more love. We all need more</a:t>
          </a:r>
          <a:r>
            <a:rPr lang="en-US" sz="1100" baseline="0">
              <a:effectLst/>
              <a:latin typeface="Cambria Math" panose="02040503050406030204" pitchFamily="18" charset="0"/>
              <a:ea typeface="Times New Roman" panose="02020603050405020304" pitchFamily="18" charset="0"/>
              <a:cs typeface="Times New Roman" panose="02020603050405020304" pitchFamily="18" charset="0"/>
            </a:rPr>
            <a:t> love.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clientData/>
  </xdr:twoCellAnchor>
  <xdr:twoCellAnchor>
    <xdr:from>
      <xdr:col>11</xdr:col>
      <xdr:colOff>32688</xdr:colOff>
      <xdr:row>39</xdr:row>
      <xdr:rowOff>24677</xdr:rowOff>
    </xdr:from>
    <xdr:to>
      <xdr:col>11</xdr:col>
      <xdr:colOff>215567</xdr:colOff>
      <xdr:row>39</xdr:row>
      <xdr:rowOff>252496</xdr:rowOff>
    </xdr:to>
    <xdr:grpSp>
      <xdr:nvGrpSpPr>
        <xdr:cNvPr id="832" name="Group 831">
          <a:extLst>
            <a:ext uri="{FF2B5EF4-FFF2-40B4-BE49-F238E27FC236}">
              <a16:creationId xmlns:a16="http://schemas.microsoft.com/office/drawing/2014/main" id="{51E80016-ADBE-4A1B-BC1C-83FE128607AC}"/>
            </a:ext>
          </a:extLst>
        </xdr:cNvPr>
        <xdr:cNvGrpSpPr/>
      </xdr:nvGrpSpPr>
      <xdr:grpSpPr>
        <a:xfrm>
          <a:off x="5176188" y="13108217"/>
          <a:ext cx="182879" cy="227819"/>
          <a:chOff x="6465897" y="135471422"/>
          <a:chExt cx="183413" cy="222633"/>
        </a:xfrm>
      </xdr:grpSpPr>
      <xdr:sp macro="" textlink="">
        <xdr:nvSpPr>
          <xdr:cNvPr id="833" name="Rectangle: Rounded Corners 832">
            <a:extLst>
              <a:ext uri="{FF2B5EF4-FFF2-40B4-BE49-F238E27FC236}">
                <a16:creationId xmlns:a16="http://schemas.microsoft.com/office/drawing/2014/main" id="{A1ED7CB7-95DE-49EC-86C4-F10E4B1006CE}"/>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34" name="Rectangle 833">
            <a:extLst>
              <a:ext uri="{FF2B5EF4-FFF2-40B4-BE49-F238E27FC236}">
                <a16:creationId xmlns:a16="http://schemas.microsoft.com/office/drawing/2014/main" id="{03646E78-C4FD-43C0-90EA-85C2A2E9824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40</xdr:row>
      <xdr:rowOff>24528</xdr:rowOff>
    </xdr:from>
    <xdr:to>
      <xdr:col>11</xdr:col>
      <xdr:colOff>215567</xdr:colOff>
      <xdr:row>40</xdr:row>
      <xdr:rowOff>252347</xdr:rowOff>
    </xdr:to>
    <xdr:grpSp>
      <xdr:nvGrpSpPr>
        <xdr:cNvPr id="835" name="Group 834">
          <a:extLst>
            <a:ext uri="{FF2B5EF4-FFF2-40B4-BE49-F238E27FC236}">
              <a16:creationId xmlns:a16="http://schemas.microsoft.com/office/drawing/2014/main" id="{44913A05-DAC4-4B77-AC52-3224BF762963}"/>
            </a:ext>
          </a:extLst>
        </xdr:cNvPr>
        <xdr:cNvGrpSpPr/>
      </xdr:nvGrpSpPr>
      <xdr:grpSpPr>
        <a:xfrm>
          <a:off x="5176188" y="13374768"/>
          <a:ext cx="182879" cy="227819"/>
          <a:chOff x="6465897" y="135471422"/>
          <a:chExt cx="183413" cy="222633"/>
        </a:xfrm>
      </xdr:grpSpPr>
      <xdr:sp macro="" textlink="">
        <xdr:nvSpPr>
          <xdr:cNvPr id="836" name="Rectangle: Rounded Corners 835">
            <a:extLst>
              <a:ext uri="{FF2B5EF4-FFF2-40B4-BE49-F238E27FC236}">
                <a16:creationId xmlns:a16="http://schemas.microsoft.com/office/drawing/2014/main" id="{891EA4CB-1488-46B0-A108-28544C1599FE}"/>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37" name="Rectangle 836">
            <a:extLst>
              <a:ext uri="{FF2B5EF4-FFF2-40B4-BE49-F238E27FC236}">
                <a16:creationId xmlns:a16="http://schemas.microsoft.com/office/drawing/2014/main" id="{097C7E61-F7B5-4481-963D-7A44BE0C5F47}"/>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37</xdr:row>
      <xdr:rowOff>24528</xdr:rowOff>
    </xdr:from>
    <xdr:to>
      <xdr:col>11</xdr:col>
      <xdr:colOff>215567</xdr:colOff>
      <xdr:row>37</xdr:row>
      <xdr:rowOff>252347</xdr:rowOff>
    </xdr:to>
    <xdr:grpSp>
      <xdr:nvGrpSpPr>
        <xdr:cNvPr id="838" name="Group 837">
          <a:extLst>
            <a:ext uri="{FF2B5EF4-FFF2-40B4-BE49-F238E27FC236}">
              <a16:creationId xmlns:a16="http://schemas.microsoft.com/office/drawing/2014/main" id="{495DFA29-554D-40EF-86EA-80C8C1E995ED}"/>
            </a:ext>
          </a:extLst>
        </xdr:cNvPr>
        <xdr:cNvGrpSpPr/>
      </xdr:nvGrpSpPr>
      <xdr:grpSpPr>
        <a:xfrm>
          <a:off x="5176188" y="12574668"/>
          <a:ext cx="182879" cy="227819"/>
          <a:chOff x="6465897" y="135471422"/>
          <a:chExt cx="183413" cy="222633"/>
        </a:xfrm>
      </xdr:grpSpPr>
      <xdr:sp macro="" textlink="">
        <xdr:nvSpPr>
          <xdr:cNvPr id="839" name="Rectangle: Rounded Corners 838">
            <a:extLst>
              <a:ext uri="{FF2B5EF4-FFF2-40B4-BE49-F238E27FC236}">
                <a16:creationId xmlns:a16="http://schemas.microsoft.com/office/drawing/2014/main" id="{097F009F-C456-46E8-867C-42218E40765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0" name="Rectangle 839">
            <a:extLst>
              <a:ext uri="{FF2B5EF4-FFF2-40B4-BE49-F238E27FC236}">
                <a16:creationId xmlns:a16="http://schemas.microsoft.com/office/drawing/2014/main" id="{A3140974-9F9F-4B7D-AFA8-72CE2CB77D7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42</xdr:row>
      <xdr:rowOff>16908</xdr:rowOff>
    </xdr:from>
    <xdr:to>
      <xdr:col>11</xdr:col>
      <xdr:colOff>215567</xdr:colOff>
      <xdr:row>42</xdr:row>
      <xdr:rowOff>244727</xdr:rowOff>
    </xdr:to>
    <xdr:grpSp>
      <xdr:nvGrpSpPr>
        <xdr:cNvPr id="841" name="Group 840">
          <a:extLst>
            <a:ext uri="{FF2B5EF4-FFF2-40B4-BE49-F238E27FC236}">
              <a16:creationId xmlns:a16="http://schemas.microsoft.com/office/drawing/2014/main" id="{F4B54AC8-5666-46A9-8FB9-086873D7966F}"/>
            </a:ext>
          </a:extLst>
        </xdr:cNvPr>
        <xdr:cNvGrpSpPr/>
      </xdr:nvGrpSpPr>
      <xdr:grpSpPr>
        <a:xfrm>
          <a:off x="5176188" y="13900548"/>
          <a:ext cx="182879" cy="227819"/>
          <a:chOff x="6465897" y="135471422"/>
          <a:chExt cx="183413" cy="222633"/>
        </a:xfrm>
      </xdr:grpSpPr>
      <xdr:sp macro="" textlink="">
        <xdr:nvSpPr>
          <xdr:cNvPr id="842" name="Rectangle: Rounded Corners 841">
            <a:extLst>
              <a:ext uri="{FF2B5EF4-FFF2-40B4-BE49-F238E27FC236}">
                <a16:creationId xmlns:a16="http://schemas.microsoft.com/office/drawing/2014/main" id="{1B801D9E-2EF2-4DB6-BD53-685A1539FC1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3" name="Rectangle 842">
            <a:extLst>
              <a:ext uri="{FF2B5EF4-FFF2-40B4-BE49-F238E27FC236}">
                <a16:creationId xmlns:a16="http://schemas.microsoft.com/office/drawing/2014/main" id="{7B006140-FAB7-48EB-8493-611FB5C1434F}"/>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43</xdr:row>
      <xdr:rowOff>16908</xdr:rowOff>
    </xdr:from>
    <xdr:to>
      <xdr:col>11</xdr:col>
      <xdr:colOff>215567</xdr:colOff>
      <xdr:row>43</xdr:row>
      <xdr:rowOff>244727</xdr:rowOff>
    </xdr:to>
    <xdr:grpSp>
      <xdr:nvGrpSpPr>
        <xdr:cNvPr id="844" name="Group 843">
          <a:extLst>
            <a:ext uri="{FF2B5EF4-FFF2-40B4-BE49-F238E27FC236}">
              <a16:creationId xmlns:a16="http://schemas.microsoft.com/office/drawing/2014/main" id="{C339B2C5-BDF7-4173-8E13-23E78E625A8C}"/>
            </a:ext>
          </a:extLst>
        </xdr:cNvPr>
        <xdr:cNvGrpSpPr/>
      </xdr:nvGrpSpPr>
      <xdr:grpSpPr>
        <a:xfrm>
          <a:off x="5176188" y="14167248"/>
          <a:ext cx="182879" cy="227819"/>
          <a:chOff x="6465897" y="135471422"/>
          <a:chExt cx="183413" cy="222633"/>
        </a:xfrm>
      </xdr:grpSpPr>
      <xdr:sp macro="" textlink="">
        <xdr:nvSpPr>
          <xdr:cNvPr id="845" name="Rectangle: Rounded Corners 844">
            <a:extLst>
              <a:ext uri="{FF2B5EF4-FFF2-40B4-BE49-F238E27FC236}">
                <a16:creationId xmlns:a16="http://schemas.microsoft.com/office/drawing/2014/main" id="{A20D8C1A-4D82-4A74-BDE4-E2F9BD6330F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6" name="Rectangle 845">
            <a:extLst>
              <a:ext uri="{FF2B5EF4-FFF2-40B4-BE49-F238E27FC236}">
                <a16:creationId xmlns:a16="http://schemas.microsoft.com/office/drawing/2014/main" id="{432233EB-3AFD-470D-BF3F-B2D5659DC48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44</xdr:row>
      <xdr:rowOff>24528</xdr:rowOff>
    </xdr:from>
    <xdr:to>
      <xdr:col>11</xdr:col>
      <xdr:colOff>215567</xdr:colOff>
      <xdr:row>44</xdr:row>
      <xdr:rowOff>252347</xdr:rowOff>
    </xdr:to>
    <xdr:grpSp>
      <xdr:nvGrpSpPr>
        <xdr:cNvPr id="847" name="Group 846">
          <a:extLst>
            <a:ext uri="{FF2B5EF4-FFF2-40B4-BE49-F238E27FC236}">
              <a16:creationId xmlns:a16="http://schemas.microsoft.com/office/drawing/2014/main" id="{783EEF7B-014B-49C7-95BF-AF539D97F24E}"/>
            </a:ext>
          </a:extLst>
        </xdr:cNvPr>
        <xdr:cNvGrpSpPr/>
      </xdr:nvGrpSpPr>
      <xdr:grpSpPr>
        <a:xfrm>
          <a:off x="5176188" y="14441568"/>
          <a:ext cx="182879" cy="227819"/>
          <a:chOff x="6465897" y="135471422"/>
          <a:chExt cx="183413" cy="222633"/>
        </a:xfrm>
      </xdr:grpSpPr>
      <xdr:sp macro="" textlink="">
        <xdr:nvSpPr>
          <xdr:cNvPr id="848" name="Rectangle: Rounded Corners 847">
            <a:extLst>
              <a:ext uri="{FF2B5EF4-FFF2-40B4-BE49-F238E27FC236}">
                <a16:creationId xmlns:a16="http://schemas.microsoft.com/office/drawing/2014/main" id="{1F61DDA3-C4DA-42BD-AF86-A80BDAAF9A5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9" name="Rectangle 848">
            <a:extLst>
              <a:ext uri="{FF2B5EF4-FFF2-40B4-BE49-F238E27FC236}">
                <a16:creationId xmlns:a16="http://schemas.microsoft.com/office/drawing/2014/main" id="{D573DB3B-79AC-40F7-8A99-27B4484739E6}"/>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45</xdr:row>
      <xdr:rowOff>24528</xdr:rowOff>
    </xdr:from>
    <xdr:to>
      <xdr:col>11</xdr:col>
      <xdr:colOff>215567</xdr:colOff>
      <xdr:row>45</xdr:row>
      <xdr:rowOff>252347</xdr:rowOff>
    </xdr:to>
    <xdr:grpSp>
      <xdr:nvGrpSpPr>
        <xdr:cNvPr id="850" name="Group 849">
          <a:extLst>
            <a:ext uri="{FF2B5EF4-FFF2-40B4-BE49-F238E27FC236}">
              <a16:creationId xmlns:a16="http://schemas.microsoft.com/office/drawing/2014/main" id="{BBC84C77-D56D-478B-8CCD-3E517F0F0DF4}"/>
            </a:ext>
          </a:extLst>
        </xdr:cNvPr>
        <xdr:cNvGrpSpPr/>
      </xdr:nvGrpSpPr>
      <xdr:grpSpPr>
        <a:xfrm>
          <a:off x="5176188" y="14708268"/>
          <a:ext cx="182879" cy="227819"/>
          <a:chOff x="6465897" y="135471422"/>
          <a:chExt cx="183413" cy="222633"/>
        </a:xfrm>
      </xdr:grpSpPr>
      <xdr:sp macro="" textlink="">
        <xdr:nvSpPr>
          <xdr:cNvPr id="851" name="Rectangle: Rounded Corners 850">
            <a:extLst>
              <a:ext uri="{FF2B5EF4-FFF2-40B4-BE49-F238E27FC236}">
                <a16:creationId xmlns:a16="http://schemas.microsoft.com/office/drawing/2014/main" id="{5C5E389C-3EC3-400A-82E2-0DA50AD3F7AA}"/>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2" name="Rectangle 851">
            <a:extLst>
              <a:ext uri="{FF2B5EF4-FFF2-40B4-BE49-F238E27FC236}">
                <a16:creationId xmlns:a16="http://schemas.microsoft.com/office/drawing/2014/main" id="{EA69A74A-5B67-4313-AD2C-E113AD28F903}"/>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50</xdr:row>
      <xdr:rowOff>24528</xdr:rowOff>
    </xdr:from>
    <xdr:to>
      <xdr:col>11</xdr:col>
      <xdr:colOff>215567</xdr:colOff>
      <xdr:row>50</xdr:row>
      <xdr:rowOff>252347</xdr:rowOff>
    </xdr:to>
    <xdr:grpSp>
      <xdr:nvGrpSpPr>
        <xdr:cNvPr id="853" name="Group 852">
          <a:extLst>
            <a:ext uri="{FF2B5EF4-FFF2-40B4-BE49-F238E27FC236}">
              <a16:creationId xmlns:a16="http://schemas.microsoft.com/office/drawing/2014/main" id="{F93C7CC9-21AF-4D9C-A2A0-33411B001605}"/>
            </a:ext>
          </a:extLst>
        </xdr:cNvPr>
        <xdr:cNvGrpSpPr/>
      </xdr:nvGrpSpPr>
      <xdr:grpSpPr>
        <a:xfrm>
          <a:off x="5176188" y="16041768"/>
          <a:ext cx="182879" cy="227819"/>
          <a:chOff x="6465897" y="135471422"/>
          <a:chExt cx="183413" cy="222633"/>
        </a:xfrm>
      </xdr:grpSpPr>
      <xdr:sp macro="" textlink="">
        <xdr:nvSpPr>
          <xdr:cNvPr id="854" name="Rectangle: Rounded Corners 853">
            <a:extLst>
              <a:ext uri="{FF2B5EF4-FFF2-40B4-BE49-F238E27FC236}">
                <a16:creationId xmlns:a16="http://schemas.microsoft.com/office/drawing/2014/main" id="{D3967C3C-D9AC-4AD4-A722-78025F889F6B}"/>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5" name="Rectangle 854">
            <a:extLst>
              <a:ext uri="{FF2B5EF4-FFF2-40B4-BE49-F238E27FC236}">
                <a16:creationId xmlns:a16="http://schemas.microsoft.com/office/drawing/2014/main" id="{F468C717-864B-4182-BB90-A0E13DB2C647}"/>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46</xdr:row>
      <xdr:rowOff>24528</xdr:rowOff>
    </xdr:from>
    <xdr:to>
      <xdr:col>11</xdr:col>
      <xdr:colOff>215567</xdr:colOff>
      <xdr:row>46</xdr:row>
      <xdr:rowOff>252347</xdr:rowOff>
    </xdr:to>
    <xdr:grpSp>
      <xdr:nvGrpSpPr>
        <xdr:cNvPr id="856" name="Group 855">
          <a:extLst>
            <a:ext uri="{FF2B5EF4-FFF2-40B4-BE49-F238E27FC236}">
              <a16:creationId xmlns:a16="http://schemas.microsoft.com/office/drawing/2014/main" id="{570F8DA8-39DF-4F1B-98C7-7294D7D909E9}"/>
            </a:ext>
          </a:extLst>
        </xdr:cNvPr>
        <xdr:cNvGrpSpPr/>
      </xdr:nvGrpSpPr>
      <xdr:grpSpPr>
        <a:xfrm>
          <a:off x="5176188" y="14974968"/>
          <a:ext cx="182879" cy="227819"/>
          <a:chOff x="6465897" y="135471422"/>
          <a:chExt cx="183413" cy="222633"/>
        </a:xfrm>
      </xdr:grpSpPr>
      <xdr:sp macro="" textlink="">
        <xdr:nvSpPr>
          <xdr:cNvPr id="857" name="Rectangle: Rounded Corners 856">
            <a:extLst>
              <a:ext uri="{FF2B5EF4-FFF2-40B4-BE49-F238E27FC236}">
                <a16:creationId xmlns:a16="http://schemas.microsoft.com/office/drawing/2014/main" id="{50F000AD-5360-4EB8-9001-0F9A764D5444}"/>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8" name="Rectangle 857">
            <a:extLst>
              <a:ext uri="{FF2B5EF4-FFF2-40B4-BE49-F238E27FC236}">
                <a16:creationId xmlns:a16="http://schemas.microsoft.com/office/drawing/2014/main" id="{864BAAA5-D4B8-4224-A13F-8694A42658A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47</xdr:row>
      <xdr:rowOff>24528</xdr:rowOff>
    </xdr:from>
    <xdr:to>
      <xdr:col>11</xdr:col>
      <xdr:colOff>215567</xdr:colOff>
      <xdr:row>47</xdr:row>
      <xdr:rowOff>252347</xdr:rowOff>
    </xdr:to>
    <xdr:grpSp>
      <xdr:nvGrpSpPr>
        <xdr:cNvPr id="859" name="Group 858">
          <a:extLst>
            <a:ext uri="{FF2B5EF4-FFF2-40B4-BE49-F238E27FC236}">
              <a16:creationId xmlns:a16="http://schemas.microsoft.com/office/drawing/2014/main" id="{180E4E11-1560-4BFB-9F36-1B00CF7391FE}"/>
            </a:ext>
          </a:extLst>
        </xdr:cNvPr>
        <xdr:cNvGrpSpPr/>
      </xdr:nvGrpSpPr>
      <xdr:grpSpPr>
        <a:xfrm>
          <a:off x="5176188" y="15241668"/>
          <a:ext cx="182879" cy="227819"/>
          <a:chOff x="6465897" y="135471422"/>
          <a:chExt cx="183413" cy="222633"/>
        </a:xfrm>
      </xdr:grpSpPr>
      <xdr:sp macro="" textlink="">
        <xdr:nvSpPr>
          <xdr:cNvPr id="860" name="Rectangle: Rounded Corners 859">
            <a:extLst>
              <a:ext uri="{FF2B5EF4-FFF2-40B4-BE49-F238E27FC236}">
                <a16:creationId xmlns:a16="http://schemas.microsoft.com/office/drawing/2014/main" id="{1C9C680A-1F98-46B0-98E2-1449122D715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1" name="Rectangle 860">
            <a:extLst>
              <a:ext uri="{FF2B5EF4-FFF2-40B4-BE49-F238E27FC236}">
                <a16:creationId xmlns:a16="http://schemas.microsoft.com/office/drawing/2014/main" id="{ED56EAA8-CA1E-4C0B-8E2C-2429AE44BDF5}"/>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48</xdr:row>
      <xdr:rowOff>24528</xdr:rowOff>
    </xdr:from>
    <xdr:to>
      <xdr:col>11</xdr:col>
      <xdr:colOff>215567</xdr:colOff>
      <xdr:row>48</xdr:row>
      <xdr:rowOff>252347</xdr:rowOff>
    </xdr:to>
    <xdr:grpSp>
      <xdr:nvGrpSpPr>
        <xdr:cNvPr id="862" name="Group 861">
          <a:extLst>
            <a:ext uri="{FF2B5EF4-FFF2-40B4-BE49-F238E27FC236}">
              <a16:creationId xmlns:a16="http://schemas.microsoft.com/office/drawing/2014/main" id="{62C70C41-31F3-4A47-A666-842AE17DEBE9}"/>
            </a:ext>
          </a:extLst>
        </xdr:cNvPr>
        <xdr:cNvGrpSpPr/>
      </xdr:nvGrpSpPr>
      <xdr:grpSpPr>
        <a:xfrm>
          <a:off x="5176188" y="15508368"/>
          <a:ext cx="182879" cy="227819"/>
          <a:chOff x="6465897" y="135471422"/>
          <a:chExt cx="183413" cy="222633"/>
        </a:xfrm>
      </xdr:grpSpPr>
      <xdr:sp macro="" textlink="">
        <xdr:nvSpPr>
          <xdr:cNvPr id="863" name="Rectangle: Rounded Corners 862">
            <a:extLst>
              <a:ext uri="{FF2B5EF4-FFF2-40B4-BE49-F238E27FC236}">
                <a16:creationId xmlns:a16="http://schemas.microsoft.com/office/drawing/2014/main" id="{E092E4FB-01A6-41F2-BFAD-648FBFAEC23A}"/>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4" name="Rectangle 863">
            <a:extLst>
              <a:ext uri="{FF2B5EF4-FFF2-40B4-BE49-F238E27FC236}">
                <a16:creationId xmlns:a16="http://schemas.microsoft.com/office/drawing/2014/main" id="{96A7C08D-7AA0-45BA-935D-488644D2A9C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49</xdr:row>
      <xdr:rowOff>24528</xdr:rowOff>
    </xdr:from>
    <xdr:to>
      <xdr:col>11</xdr:col>
      <xdr:colOff>215567</xdr:colOff>
      <xdr:row>49</xdr:row>
      <xdr:rowOff>252347</xdr:rowOff>
    </xdr:to>
    <xdr:grpSp>
      <xdr:nvGrpSpPr>
        <xdr:cNvPr id="865" name="Group 864">
          <a:extLst>
            <a:ext uri="{FF2B5EF4-FFF2-40B4-BE49-F238E27FC236}">
              <a16:creationId xmlns:a16="http://schemas.microsoft.com/office/drawing/2014/main" id="{C55F3EFB-B927-4FDE-97C8-13BE5668F1BE}"/>
            </a:ext>
          </a:extLst>
        </xdr:cNvPr>
        <xdr:cNvGrpSpPr/>
      </xdr:nvGrpSpPr>
      <xdr:grpSpPr>
        <a:xfrm>
          <a:off x="5176188" y="15775068"/>
          <a:ext cx="182879" cy="227819"/>
          <a:chOff x="6465897" y="135471422"/>
          <a:chExt cx="183413" cy="222633"/>
        </a:xfrm>
      </xdr:grpSpPr>
      <xdr:sp macro="" textlink="">
        <xdr:nvSpPr>
          <xdr:cNvPr id="866" name="Rectangle: Rounded Corners 865">
            <a:extLst>
              <a:ext uri="{FF2B5EF4-FFF2-40B4-BE49-F238E27FC236}">
                <a16:creationId xmlns:a16="http://schemas.microsoft.com/office/drawing/2014/main" id="{A75067FD-4779-4D76-91AF-508F99796079}"/>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7" name="Rectangle 866">
            <a:extLst>
              <a:ext uri="{FF2B5EF4-FFF2-40B4-BE49-F238E27FC236}">
                <a16:creationId xmlns:a16="http://schemas.microsoft.com/office/drawing/2014/main" id="{24F7E8F2-6442-4FF8-A2A8-E08FCC0DEBE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editAs="oneCell">
    <xdr:from>
      <xdr:col>12</xdr:col>
      <xdr:colOff>354635</xdr:colOff>
      <xdr:row>378</xdr:row>
      <xdr:rowOff>38100</xdr:rowOff>
    </xdr:from>
    <xdr:to>
      <xdr:col>13</xdr:col>
      <xdr:colOff>100013</xdr:colOff>
      <xdr:row>380</xdr:row>
      <xdr:rowOff>99060</xdr:rowOff>
    </xdr:to>
    <xdr:pic>
      <xdr:nvPicPr>
        <xdr:cNvPr id="656" name="Picture 655" descr="Mouse Cursor Click PNG Transparent Images | PNG All">
          <a:extLst>
            <a:ext uri="{FF2B5EF4-FFF2-40B4-BE49-F238E27FC236}">
              <a16:creationId xmlns:a16="http://schemas.microsoft.com/office/drawing/2014/main" id="{B91FC5F0-446E-49CA-BFB0-418D3E348A66}"/>
            </a:ext>
          </a:extLst>
        </xdr:cNvPr>
        <xdr:cNvPicPr>
          <a:picLocks noChangeAspect="1" noChangeArrowheads="1"/>
        </xdr:cNvPicPr>
      </xdr:nvPicPr>
      <xdr:blipFill rotWithShape="1">
        <a:blip xmlns:r="http://schemas.openxmlformats.org/officeDocument/2006/relationships" r:embed="rId57" cstate="print">
          <a:duotone>
            <a:schemeClr val="accent6">
              <a:shade val="45000"/>
              <a:satMod val="135000"/>
            </a:schemeClr>
            <a:prstClr val="white"/>
          </a:duotone>
          <a:extLst>
            <a:ext uri="{BEBA8EAE-BF5A-486C-A8C5-ECC9F3942E4B}">
              <a14:imgProps xmlns:a14="http://schemas.microsoft.com/office/drawing/2010/main">
                <a14:imgLayer r:embed="rId58">
                  <a14:imgEffect>
                    <a14:artisticCrisscrossEtching/>
                  </a14:imgEffect>
                  <a14:imgEffect>
                    <a14:brightnessContrast bright="20000" contrast="20000"/>
                  </a14:imgEffect>
                </a14:imgLayer>
              </a14:imgProps>
            </a:ext>
            <a:ext uri="{28A0092B-C50C-407E-A947-70E740481C1C}">
              <a14:useLocalDpi xmlns:a14="http://schemas.microsoft.com/office/drawing/2010/main" val="0"/>
            </a:ext>
          </a:extLst>
        </a:blip>
        <a:srcRect l="26875" r="26875"/>
        <a:stretch/>
      </xdr:blipFill>
      <xdr:spPr bwMode="auto">
        <a:xfrm>
          <a:off x="6001055" y="91912440"/>
          <a:ext cx="248298" cy="373380"/>
        </a:xfrm>
        <a:prstGeom prst="rect">
          <a:avLst/>
        </a:prstGeom>
        <a:noFill/>
        <a:effectLst>
          <a:softEdge rad="0"/>
        </a:effectLst>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www.valuerelating.com/unifyingpolitics" TargetMode="External"/><Relationship Id="rId7" Type="http://schemas.openxmlformats.org/officeDocument/2006/relationships/comments" Target="../comments1.xml"/><Relationship Id="rId2" Type="http://schemas.openxmlformats.org/officeDocument/2006/relationships/hyperlink" Target="https://www.valuerelating.com/unifyingpolitics" TargetMode="External"/><Relationship Id="rId1" Type="http://schemas.openxmlformats.org/officeDocument/2006/relationships/hyperlink" Target="https://www.valuerelating.com/" TargetMode="External"/><Relationship Id="rId6" Type="http://schemas.openxmlformats.org/officeDocument/2006/relationships/vmlDrawing" Target="../drawings/vmlDrawing1.v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www.amazon.com/Righteous-Mind-Divided-Politics-Religion/dp/0307455777" TargetMode="External"/><Relationship Id="rId7" Type="http://schemas.openxmlformats.org/officeDocument/2006/relationships/hyperlink" Target="https://www.valuerelating.com/contact" TargetMode="External"/><Relationship Id="rId2" Type="http://schemas.openxmlformats.org/officeDocument/2006/relationships/hyperlink" Target="https://www.hhs.gov/hipaa/for-professionals/covered-entities/sample-business-associate-agreement-provisions/index.html" TargetMode="External"/><Relationship Id="rId1" Type="http://schemas.openxmlformats.org/officeDocument/2006/relationships/hyperlink" Target="https://pro.psychcentral.com/culture-wars-covid-19-and-countertransference" TargetMode="External"/><Relationship Id="rId6" Type="http://schemas.openxmlformats.org/officeDocument/2006/relationships/hyperlink" Target="https://www.valuerelating.com/ipm" TargetMode="External"/><Relationship Id="rId11" Type="http://schemas.openxmlformats.org/officeDocument/2006/relationships/comments" Target="../comments2.xml"/><Relationship Id="rId5" Type="http://schemas.openxmlformats.org/officeDocument/2006/relationships/hyperlink" Target="https://www.valuerelating.com/psychosociotherapy" TargetMode="External"/><Relationship Id="rId10" Type="http://schemas.openxmlformats.org/officeDocument/2006/relationships/vmlDrawing" Target="../drawings/vmlDrawing2.vml"/><Relationship Id="rId4" Type="http://schemas.openxmlformats.org/officeDocument/2006/relationships/hyperlink" Target="https://www.valuerelating.com/sttp-4s"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s://www.valuerelating.com/ipm" TargetMode="External"/><Relationship Id="rId5" Type="http://schemas.openxmlformats.org/officeDocument/2006/relationships/comments" Target="../comments3.xml"/><Relationship Id="rId4"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E1546"/>
  <sheetViews>
    <sheetView tabSelected="1" zoomScaleNormal="100" zoomScaleSheetLayoutView="100" workbookViewId="0">
      <selection sqref="A1:N2"/>
    </sheetView>
  </sheetViews>
  <sheetFormatPr defaultColWidth="8.88671875" defaultRowHeight="13.8"/>
  <cols>
    <col min="1" max="1" width="1.6640625" style="180" customWidth="1"/>
    <col min="2" max="7" width="7.33203125" style="2" customWidth="1"/>
    <col min="8" max="8" width="7.33203125" style="194" customWidth="1"/>
    <col min="9" max="13" width="7.33203125" style="2" customWidth="1"/>
    <col min="14" max="14" width="1.6640625" style="180" customWidth="1"/>
    <col min="15" max="15" width="1.6640625" style="2" customWidth="1"/>
    <col min="16" max="27" width="7.33203125" style="2" customWidth="1"/>
    <col min="28" max="29" width="1.6640625" style="2" customWidth="1"/>
    <col min="30" max="52" width="8.88671875" style="2" customWidth="1"/>
    <col min="53" max="71" width="8.88671875" style="2" hidden="1" customWidth="1"/>
    <col min="72" max="73" width="15.6640625" style="2" hidden="1" customWidth="1"/>
    <col min="74" max="83" width="8.88671875" style="2" hidden="1" customWidth="1"/>
    <col min="84" max="123" width="8.88671875" style="2" customWidth="1"/>
    <col min="124" max="16384" width="8.88671875" style="2"/>
  </cols>
  <sheetData>
    <row r="1" spans="1:14" ht="30" customHeight="1">
      <c r="A1" s="1181" t="s">
        <v>431</v>
      </c>
      <c r="B1" s="1182"/>
      <c r="C1" s="1182"/>
      <c r="D1" s="1182"/>
      <c r="E1" s="1182"/>
      <c r="F1" s="1182"/>
      <c r="G1" s="1182"/>
      <c r="H1" s="1182"/>
      <c r="I1" s="1182"/>
      <c r="J1" s="1182"/>
      <c r="K1" s="1182"/>
      <c r="L1" s="1182"/>
      <c r="M1" s="1182"/>
      <c r="N1" s="1183"/>
    </row>
    <row r="2" spans="1:14" ht="34.950000000000003" customHeight="1">
      <c r="A2" s="1184"/>
      <c r="B2" s="1185"/>
      <c r="C2" s="1185"/>
      <c r="D2" s="1185"/>
      <c r="E2" s="1185"/>
      <c r="F2" s="1185"/>
      <c r="G2" s="1185"/>
      <c r="H2" s="1185"/>
      <c r="I2" s="1185"/>
      <c r="J2" s="1185"/>
      <c r="K2" s="1185"/>
      <c r="L2" s="1185"/>
      <c r="M2" s="1185"/>
      <c r="N2" s="1186"/>
    </row>
    <row r="3" spans="1:14" ht="25.05" customHeight="1">
      <c r="A3" s="1152"/>
      <c r="B3" s="1153"/>
      <c r="C3" s="1153"/>
      <c r="D3" s="1153"/>
      <c r="E3" s="1153"/>
      <c r="F3" s="1153"/>
      <c r="G3" s="1153"/>
      <c r="H3" s="1153"/>
      <c r="I3" s="1153"/>
      <c r="J3" s="1153"/>
      <c r="K3" s="1153"/>
      <c r="L3" s="1153"/>
      <c r="M3" s="1153"/>
      <c r="N3" s="1154"/>
    </row>
    <row r="4" spans="1:14" ht="19.95" customHeight="1">
      <c r="A4" s="1485" t="s">
        <v>1197</v>
      </c>
      <c r="B4" s="1486"/>
      <c r="C4" s="1486"/>
      <c r="D4" s="1486"/>
      <c r="E4" s="1486"/>
      <c r="F4" s="1486"/>
      <c r="G4" s="1486"/>
      <c r="H4" s="1486"/>
      <c r="I4" s="1486"/>
      <c r="J4" s="1486"/>
      <c r="K4" s="1486"/>
      <c r="L4" s="1486"/>
      <c r="M4" s="1486"/>
      <c r="N4" s="1487"/>
    </row>
    <row r="5" spans="1:14" ht="13.95" customHeight="1">
      <c r="A5" s="1152"/>
      <c r="B5" s="1153"/>
      <c r="C5" s="1153"/>
      <c r="D5" s="1153"/>
      <c r="E5" s="1153"/>
      <c r="F5" s="1153"/>
      <c r="G5" s="1153"/>
      <c r="H5" s="1153"/>
      <c r="I5" s="1153"/>
      <c r="J5" s="1153"/>
      <c r="K5" s="1153"/>
      <c r="L5" s="1153"/>
      <c r="M5" s="1153"/>
      <c r="N5" s="1154"/>
    </row>
    <row r="6" spans="1:14" ht="13.95" customHeight="1">
      <c r="A6" s="289"/>
      <c r="B6" s="164"/>
      <c r="C6" s="164"/>
      <c r="D6" s="164"/>
      <c r="E6" s="164"/>
      <c r="F6" s="164"/>
      <c r="G6" s="164"/>
      <c r="H6" s="314"/>
      <c r="I6" s="164"/>
      <c r="J6" s="164"/>
      <c r="K6" s="164"/>
      <c r="L6" s="164"/>
      <c r="M6" s="164"/>
      <c r="N6" s="290"/>
    </row>
    <row r="7" spans="1:14" ht="13.95" customHeight="1">
      <c r="A7" s="289"/>
      <c r="B7" s="1156" t="s">
        <v>1146</v>
      </c>
      <c r="C7" s="1157"/>
      <c r="D7" s="1157"/>
      <c r="E7" s="1157"/>
      <c r="F7" s="1157"/>
      <c r="G7" s="1274" t="s">
        <v>1147</v>
      </c>
      <c r="H7" s="1274"/>
      <c r="I7" s="1274"/>
      <c r="J7" s="1274"/>
      <c r="K7" s="1274"/>
      <c r="L7" s="175"/>
      <c r="M7" s="165">
        <v>1</v>
      </c>
      <c r="N7" s="290"/>
    </row>
    <row r="8" spans="1:14" ht="13.95" customHeight="1">
      <c r="A8" s="289"/>
      <c r="B8" s="170"/>
      <c r="C8" s="171"/>
      <c r="D8" s="172"/>
      <c r="E8" s="172"/>
      <c r="F8" s="172"/>
      <c r="G8" s="1155" t="s">
        <v>1196</v>
      </c>
      <c r="H8" s="1155"/>
      <c r="I8" s="1155"/>
      <c r="J8" s="1155"/>
      <c r="K8" s="1155"/>
      <c r="L8" s="176" t="s">
        <v>1134</v>
      </c>
      <c r="M8" s="174">
        <v>2</v>
      </c>
      <c r="N8" s="290"/>
    </row>
    <row r="9" spans="1:14" ht="13.95" customHeight="1">
      <c r="A9" s="289"/>
      <c r="B9" s="1156" t="s">
        <v>1136</v>
      </c>
      <c r="C9" s="1157"/>
      <c r="D9" s="1157"/>
      <c r="E9" s="1157"/>
      <c r="F9" s="1157"/>
      <c r="G9" s="1274" t="s">
        <v>1150</v>
      </c>
      <c r="H9" s="1274"/>
      <c r="I9" s="1274"/>
      <c r="J9" s="1274"/>
      <c r="K9" s="1274"/>
      <c r="L9" s="175"/>
      <c r="M9" s="165">
        <v>3</v>
      </c>
      <c r="N9" s="290"/>
    </row>
    <row r="10" spans="1:14" ht="13.95" customHeight="1">
      <c r="A10" s="289"/>
      <c r="B10" s="170"/>
      <c r="C10" s="171"/>
      <c r="D10" s="172"/>
      <c r="E10" s="172"/>
      <c r="F10" s="172"/>
      <c r="G10" s="1275" t="s">
        <v>65</v>
      </c>
      <c r="H10" s="1275"/>
      <c r="I10" s="1275"/>
      <c r="J10" s="1275"/>
      <c r="K10" s="1275"/>
      <c r="L10" s="184" t="s">
        <v>1134</v>
      </c>
      <c r="M10" s="168">
        <v>4</v>
      </c>
      <c r="N10" s="290"/>
    </row>
    <row r="11" spans="1:14" ht="16.2">
      <c r="A11" s="289"/>
      <c r="B11" s="1156" t="s">
        <v>1139</v>
      </c>
      <c r="C11" s="1157"/>
      <c r="D11" s="1157"/>
      <c r="E11" s="1157"/>
      <c r="F11" s="1157"/>
      <c r="G11" s="1159" t="s">
        <v>1141</v>
      </c>
      <c r="H11" s="1159"/>
      <c r="I11" s="1159"/>
      <c r="J11" s="1159"/>
      <c r="K11" s="1159"/>
      <c r="L11" s="177" t="s">
        <v>1134</v>
      </c>
      <c r="M11" s="165">
        <v>5</v>
      </c>
      <c r="N11" s="290"/>
    </row>
    <row r="12" spans="1:14" ht="13.95" customHeight="1">
      <c r="A12" s="289"/>
      <c r="B12" s="166"/>
      <c r="C12" s="167"/>
      <c r="D12" s="164"/>
      <c r="E12" s="164"/>
      <c r="F12" s="164"/>
      <c r="G12" s="1158" t="s">
        <v>2</v>
      </c>
      <c r="H12" s="1158"/>
      <c r="I12" s="1158"/>
      <c r="J12" s="1158"/>
      <c r="K12" s="1158"/>
      <c r="L12" s="176" t="s">
        <v>1134</v>
      </c>
      <c r="M12" s="168">
        <v>6</v>
      </c>
      <c r="N12" s="290"/>
    </row>
    <row r="13" spans="1:14">
      <c r="A13" s="289"/>
      <c r="B13" s="166"/>
      <c r="C13" s="167"/>
      <c r="D13" s="164"/>
      <c r="E13" s="164"/>
      <c r="F13" s="164"/>
      <c r="G13" s="1159" t="s">
        <v>1153</v>
      </c>
      <c r="H13" s="1159"/>
      <c r="I13" s="1159"/>
      <c r="J13" s="1159"/>
      <c r="K13" s="1159"/>
      <c r="L13" s="177" t="s">
        <v>1134</v>
      </c>
      <c r="M13" s="169">
        <v>7</v>
      </c>
      <c r="N13" s="290"/>
    </row>
    <row r="14" spans="1:14">
      <c r="A14" s="289"/>
      <c r="B14" s="166"/>
      <c r="C14" s="167"/>
      <c r="D14" s="164"/>
      <c r="E14" s="164"/>
      <c r="F14" s="164"/>
      <c r="G14" s="1158" t="s">
        <v>640</v>
      </c>
      <c r="H14" s="1158"/>
      <c r="I14" s="1158"/>
      <c r="J14" s="1158"/>
      <c r="K14" s="1158"/>
      <c r="L14" s="176"/>
      <c r="M14" s="168">
        <v>8</v>
      </c>
      <c r="N14" s="290"/>
    </row>
    <row r="15" spans="1:14">
      <c r="A15" s="289"/>
      <c r="B15" s="166"/>
      <c r="C15" s="167"/>
      <c r="D15" s="164"/>
      <c r="E15" s="164"/>
      <c r="F15" s="164"/>
      <c r="G15" s="1159" t="s">
        <v>1155</v>
      </c>
      <c r="H15" s="1159"/>
      <c r="I15" s="1159"/>
      <c r="J15" s="1159"/>
      <c r="K15" s="1159"/>
      <c r="L15" s="177"/>
      <c r="M15" s="169">
        <v>9</v>
      </c>
      <c r="N15" s="290"/>
    </row>
    <row r="16" spans="1:14">
      <c r="A16" s="289"/>
      <c r="B16" s="166"/>
      <c r="C16" s="167"/>
      <c r="D16" s="164"/>
      <c r="E16" s="164"/>
      <c r="F16" s="164"/>
      <c r="G16" s="1158" t="s">
        <v>1209</v>
      </c>
      <c r="H16" s="1158"/>
      <c r="I16" s="1158"/>
      <c r="J16" s="1158"/>
      <c r="K16" s="1158"/>
      <c r="L16" s="176"/>
      <c r="M16" s="168">
        <v>10</v>
      </c>
      <c r="N16" s="290"/>
    </row>
    <row r="17" spans="1:14">
      <c r="A17" s="289"/>
      <c r="B17" s="166"/>
      <c r="C17" s="167"/>
      <c r="D17" s="164"/>
      <c r="E17" s="164"/>
      <c r="F17" s="164"/>
      <c r="G17" s="1159" t="s">
        <v>1198</v>
      </c>
      <c r="H17" s="1159"/>
      <c r="I17" s="1159"/>
      <c r="J17" s="1159"/>
      <c r="K17" s="1159"/>
      <c r="L17" s="177"/>
      <c r="M17" s="169">
        <v>11</v>
      </c>
      <c r="N17" s="290"/>
    </row>
    <row r="18" spans="1:14">
      <c r="A18" s="289"/>
      <c r="B18" s="166"/>
      <c r="C18" s="167"/>
      <c r="D18" s="164"/>
      <c r="E18" s="164"/>
      <c r="F18" s="164"/>
      <c r="G18" s="1158" t="s">
        <v>1131</v>
      </c>
      <c r="H18" s="1158"/>
      <c r="I18" s="1158"/>
      <c r="J18" s="1158"/>
      <c r="K18" s="1158"/>
      <c r="L18" s="176"/>
      <c r="M18" s="168">
        <v>12</v>
      </c>
      <c r="N18" s="290"/>
    </row>
    <row r="19" spans="1:14">
      <c r="A19" s="289"/>
      <c r="B19" s="166"/>
      <c r="C19" s="167"/>
      <c r="D19" s="164"/>
      <c r="E19" s="164"/>
      <c r="F19" s="164"/>
      <c r="G19" s="1159" t="s">
        <v>952</v>
      </c>
      <c r="H19" s="1159"/>
      <c r="I19" s="1159"/>
      <c r="J19" s="1159"/>
      <c r="K19" s="1159"/>
      <c r="L19" s="177"/>
      <c r="M19" s="169">
        <v>13</v>
      </c>
      <c r="N19" s="290"/>
    </row>
    <row r="20" spans="1:14">
      <c r="A20" s="289"/>
      <c r="B20" s="166"/>
      <c r="C20" s="167"/>
      <c r="D20" s="164"/>
      <c r="E20" s="164"/>
      <c r="F20" s="164"/>
      <c r="G20" s="1158" t="s">
        <v>554</v>
      </c>
      <c r="H20" s="1158"/>
      <c r="I20" s="1158"/>
      <c r="J20" s="1158"/>
      <c r="K20" s="1158"/>
      <c r="L20" s="176"/>
      <c r="M20" s="168">
        <v>14</v>
      </c>
      <c r="N20" s="290"/>
    </row>
    <row r="21" spans="1:14">
      <c r="A21" s="289"/>
      <c r="B21" s="166"/>
      <c r="C21" s="167"/>
      <c r="D21" s="164"/>
      <c r="E21" s="164"/>
      <c r="F21" s="164"/>
      <c r="G21" s="1159" t="s">
        <v>972</v>
      </c>
      <c r="H21" s="1159"/>
      <c r="I21" s="1159"/>
      <c r="J21" s="1159"/>
      <c r="K21" s="1159"/>
      <c r="L21" s="177" t="s">
        <v>1134</v>
      </c>
      <c r="M21" s="169">
        <v>15</v>
      </c>
      <c r="N21" s="290"/>
    </row>
    <row r="22" spans="1:14">
      <c r="A22" s="289"/>
      <c r="B22" s="170"/>
      <c r="C22" s="171"/>
      <c r="D22" s="172"/>
      <c r="E22" s="172"/>
      <c r="F22" s="172"/>
      <c r="G22" s="1275" t="s">
        <v>951</v>
      </c>
      <c r="H22" s="1275"/>
      <c r="I22" s="1275"/>
      <c r="J22" s="1275"/>
      <c r="K22" s="1275"/>
      <c r="L22" s="178"/>
      <c r="M22" s="174">
        <v>16</v>
      </c>
      <c r="N22" s="290"/>
    </row>
    <row r="23" spans="1:14" ht="16.2">
      <c r="A23" s="289"/>
      <c r="B23" s="1156" t="s">
        <v>1138</v>
      </c>
      <c r="C23" s="1157"/>
      <c r="D23" s="1157"/>
      <c r="E23" s="1157"/>
      <c r="F23" s="1157"/>
      <c r="G23" s="1159" t="s">
        <v>1142</v>
      </c>
      <c r="H23" s="1159"/>
      <c r="I23" s="1159"/>
      <c r="J23" s="1159"/>
      <c r="K23" s="1159"/>
      <c r="L23" s="175"/>
      <c r="M23" s="169">
        <v>17</v>
      </c>
      <c r="N23" s="290"/>
    </row>
    <row r="24" spans="1:14">
      <c r="A24" s="289"/>
      <c r="B24" s="166"/>
      <c r="C24" s="167"/>
      <c r="D24" s="164"/>
      <c r="E24" s="164"/>
      <c r="F24" s="164"/>
      <c r="G24" s="1158" t="s">
        <v>51</v>
      </c>
      <c r="H24" s="1158"/>
      <c r="I24" s="1158"/>
      <c r="J24" s="1158"/>
      <c r="K24" s="1158"/>
      <c r="L24" s="176" t="s">
        <v>1134</v>
      </c>
      <c r="M24" s="168">
        <v>18</v>
      </c>
      <c r="N24" s="290"/>
    </row>
    <row r="25" spans="1:14">
      <c r="A25" s="289"/>
      <c r="B25" s="166"/>
      <c r="C25" s="167"/>
      <c r="D25" s="164"/>
      <c r="E25" s="164"/>
      <c r="F25" s="164"/>
      <c r="G25" s="1159" t="s">
        <v>1132</v>
      </c>
      <c r="H25" s="1159"/>
      <c r="I25" s="1159"/>
      <c r="J25" s="1159"/>
      <c r="K25" s="1159"/>
      <c r="L25" s="177"/>
      <c r="M25" s="169">
        <v>19</v>
      </c>
      <c r="N25" s="290"/>
    </row>
    <row r="26" spans="1:14">
      <c r="A26" s="289"/>
      <c r="B26" s="166"/>
      <c r="C26" s="167"/>
      <c r="D26" s="164"/>
      <c r="E26" s="164"/>
      <c r="F26" s="164"/>
      <c r="G26" s="1158" t="s">
        <v>459</v>
      </c>
      <c r="H26" s="1158"/>
      <c r="I26" s="1158"/>
      <c r="J26" s="1158"/>
      <c r="K26" s="1158"/>
      <c r="L26" s="176"/>
      <c r="M26" s="168">
        <v>20</v>
      </c>
      <c r="N26" s="290"/>
    </row>
    <row r="27" spans="1:14">
      <c r="A27" s="289"/>
      <c r="B27" s="166"/>
      <c r="C27" s="167"/>
      <c r="D27" s="164"/>
      <c r="E27" s="164"/>
      <c r="F27" s="164"/>
      <c r="G27" s="1159" t="s">
        <v>1133</v>
      </c>
      <c r="H27" s="1159"/>
      <c r="I27" s="1159"/>
      <c r="J27" s="1159"/>
      <c r="K27" s="1159"/>
      <c r="L27" s="177"/>
      <c r="M27" s="169">
        <v>21</v>
      </c>
      <c r="N27" s="290"/>
    </row>
    <row r="28" spans="1:14">
      <c r="A28" s="289"/>
      <c r="B28" s="166"/>
      <c r="C28" s="167"/>
      <c r="D28" s="164"/>
      <c r="E28" s="164"/>
      <c r="F28" s="164"/>
      <c r="G28" s="1158" t="s">
        <v>1199</v>
      </c>
      <c r="H28" s="1158"/>
      <c r="I28" s="1158"/>
      <c r="J28" s="1158"/>
      <c r="K28" s="1158"/>
      <c r="L28" s="176"/>
      <c r="M28" s="168">
        <v>22</v>
      </c>
      <c r="N28" s="290"/>
    </row>
    <row r="29" spans="1:14">
      <c r="A29" s="289"/>
      <c r="B29" s="170"/>
      <c r="C29" s="171"/>
      <c r="D29" s="172"/>
      <c r="E29" s="172"/>
      <c r="F29" s="172"/>
      <c r="G29" s="1180" t="s">
        <v>1210</v>
      </c>
      <c r="H29" s="1180"/>
      <c r="I29" s="1180"/>
      <c r="J29" s="1180"/>
      <c r="K29" s="1180"/>
      <c r="L29" s="177" t="s">
        <v>1134</v>
      </c>
      <c r="M29" s="173">
        <v>23</v>
      </c>
      <c r="N29" s="290"/>
    </row>
    <row r="30" spans="1:14" ht="16.2">
      <c r="A30" s="289"/>
      <c r="B30" s="1156" t="s">
        <v>1137</v>
      </c>
      <c r="C30" s="1157"/>
      <c r="D30" s="1157"/>
      <c r="E30" s="1157"/>
      <c r="F30" s="1157"/>
      <c r="G30" s="1158" t="s">
        <v>1143</v>
      </c>
      <c r="H30" s="1158"/>
      <c r="I30" s="1158"/>
      <c r="J30" s="1158"/>
      <c r="K30" s="1158"/>
      <c r="L30" s="179"/>
      <c r="M30" s="168">
        <v>24</v>
      </c>
      <c r="N30" s="290"/>
    </row>
    <row r="31" spans="1:14">
      <c r="A31" s="289"/>
      <c r="B31" s="166"/>
      <c r="C31" s="167"/>
      <c r="D31" s="164"/>
      <c r="E31" s="164"/>
      <c r="F31" s="164"/>
      <c r="G31" s="1159" t="s">
        <v>1144</v>
      </c>
      <c r="H31" s="1159"/>
      <c r="I31" s="1159"/>
      <c r="J31" s="1159"/>
      <c r="K31" s="1159"/>
      <c r="L31" s="177" t="s">
        <v>1134</v>
      </c>
      <c r="M31" s="169">
        <v>25</v>
      </c>
      <c r="N31" s="290"/>
    </row>
    <row r="32" spans="1:14">
      <c r="A32" s="289"/>
      <c r="B32" s="166"/>
      <c r="C32" s="167"/>
      <c r="D32" s="164"/>
      <c r="E32" s="164"/>
      <c r="F32" s="164"/>
      <c r="G32" s="1158" t="s">
        <v>1145</v>
      </c>
      <c r="H32" s="1158"/>
      <c r="I32" s="1158"/>
      <c r="J32" s="1158"/>
      <c r="K32" s="1158"/>
      <c r="L32" s="176" t="s">
        <v>1134</v>
      </c>
      <c r="M32" s="168">
        <v>26</v>
      </c>
      <c r="N32" s="290"/>
    </row>
    <row r="33" spans="1:14">
      <c r="A33" s="289"/>
      <c r="B33" s="166"/>
      <c r="C33" s="167"/>
      <c r="D33" s="164"/>
      <c r="E33" s="164"/>
      <c r="F33" s="164"/>
      <c r="G33" s="1159" t="s">
        <v>24</v>
      </c>
      <c r="H33" s="1159"/>
      <c r="I33" s="1159"/>
      <c r="J33" s="1159"/>
      <c r="K33" s="1159"/>
      <c r="L33" s="177" t="s">
        <v>1134</v>
      </c>
      <c r="M33" s="169">
        <v>27</v>
      </c>
      <c r="N33" s="290"/>
    </row>
    <row r="34" spans="1:14">
      <c r="A34" s="289"/>
      <c r="B34" s="166"/>
      <c r="C34" s="167"/>
      <c r="D34" s="164"/>
      <c r="E34" s="164"/>
      <c r="F34" s="164"/>
      <c r="G34" s="1158" t="s">
        <v>1046</v>
      </c>
      <c r="H34" s="1158"/>
      <c r="I34" s="1158"/>
      <c r="J34" s="1158"/>
      <c r="K34" s="1158"/>
      <c r="L34" s="176" t="s">
        <v>1134</v>
      </c>
      <c r="M34" s="168">
        <v>28</v>
      </c>
      <c r="N34" s="290"/>
    </row>
    <row r="35" spans="1:14">
      <c r="A35" s="289"/>
      <c r="B35" s="166"/>
      <c r="C35" s="167"/>
      <c r="D35" s="164"/>
      <c r="E35" s="164"/>
      <c r="F35" s="164"/>
      <c r="G35" s="1159" t="s">
        <v>1171</v>
      </c>
      <c r="H35" s="1159"/>
      <c r="I35" s="1159"/>
      <c r="J35" s="1159"/>
      <c r="K35" s="1159"/>
      <c r="L35" s="177" t="s">
        <v>1134</v>
      </c>
      <c r="M35" s="169">
        <v>29</v>
      </c>
      <c r="N35" s="290"/>
    </row>
    <row r="36" spans="1:14">
      <c r="A36" s="289"/>
      <c r="B36" s="166"/>
      <c r="C36" s="167"/>
      <c r="D36" s="164"/>
      <c r="E36" s="164"/>
      <c r="F36" s="164"/>
      <c r="G36" s="1158" t="s">
        <v>774</v>
      </c>
      <c r="H36" s="1158"/>
      <c r="I36" s="1158"/>
      <c r="J36" s="1158"/>
      <c r="K36" s="1158"/>
      <c r="L36" s="176"/>
      <c r="M36" s="168">
        <v>30</v>
      </c>
      <c r="N36" s="290"/>
    </row>
    <row r="37" spans="1:14">
      <c r="A37" s="289"/>
      <c r="B37" s="166"/>
      <c r="C37" s="167"/>
      <c r="D37" s="164"/>
      <c r="E37" s="164"/>
      <c r="F37" s="164"/>
      <c r="G37" s="1159" t="s">
        <v>1200</v>
      </c>
      <c r="H37" s="1159"/>
      <c r="I37" s="1159"/>
      <c r="J37" s="1159"/>
      <c r="K37" s="1159"/>
      <c r="L37" s="177" t="s">
        <v>1134</v>
      </c>
      <c r="M37" s="169">
        <v>31</v>
      </c>
      <c r="N37" s="290"/>
    </row>
    <row r="38" spans="1:14">
      <c r="A38" s="289"/>
      <c r="B38" s="166"/>
      <c r="C38" s="167"/>
      <c r="D38" s="164"/>
      <c r="E38" s="164"/>
      <c r="F38" s="164"/>
      <c r="G38" s="1158" t="s">
        <v>773</v>
      </c>
      <c r="H38" s="1158"/>
      <c r="I38" s="1158"/>
      <c r="J38" s="1158"/>
      <c r="K38" s="1158"/>
      <c r="L38" s="176"/>
      <c r="M38" s="168">
        <v>32</v>
      </c>
      <c r="N38" s="290"/>
    </row>
    <row r="39" spans="1:14">
      <c r="A39" s="289"/>
      <c r="B39" s="166"/>
      <c r="C39" s="167"/>
      <c r="D39" s="164"/>
      <c r="E39" s="164"/>
      <c r="F39" s="164"/>
      <c r="G39" s="1159" t="s">
        <v>1201</v>
      </c>
      <c r="H39" s="1159"/>
      <c r="I39" s="1159"/>
      <c r="J39" s="1159"/>
      <c r="K39" s="1159"/>
      <c r="L39" s="177" t="s">
        <v>1134</v>
      </c>
      <c r="M39" s="169">
        <v>33</v>
      </c>
      <c r="N39" s="290"/>
    </row>
    <row r="40" spans="1:14">
      <c r="A40" s="289"/>
      <c r="B40" s="166"/>
      <c r="C40" s="167"/>
      <c r="D40" s="164"/>
      <c r="E40" s="164"/>
      <c r="F40" s="164"/>
      <c r="G40" s="1158" t="s">
        <v>775</v>
      </c>
      <c r="H40" s="1158"/>
      <c r="I40" s="1158"/>
      <c r="J40" s="1158"/>
      <c r="K40" s="1158"/>
      <c r="L40" s="176"/>
      <c r="M40" s="168">
        <v>34</v>
      </c>
      <c r="N40" s="290"/>
    </row>
    <row r="41" spans="1:14">
      <c r="A41" s="289"/>
      <c r="B41" s="170"/>
      <c r="C41" s="171"/>
      <c r="D41" s="172"/>
      <c r="E41" s="172"/>
      <c r="F41" s="172"/>
      <c r="G41" s="1180" t="s">
        <v>1202</v>
      </c>
      <c r="H41" s="1180"/>
      <c r="I41" s="1180"/>
      <c r="J41" s="1180"/>
      <c r="K41" s="1180"/>
      <c r="L41" s="177" t="s">
        <v>1134</v>
      </c>
      <c r="M41" s="173">
        <v>35</v>
      </c>
      <c r="N41" s="290"/>
    </row>
    <row r="42" spans="1:14" ht="16.2">
      <c r="A42" s="289"/>
      <c r="B42" s="1149" t="s">
        <v>1140</v>
      </c>
      <c r="C42" s="1150"/>
      <c r="D42" s="1150"/>
      <c r="E42" s="1150"/>
      <c r="F42" s="1150"/>
      <c r="G42" s="1155" t="s">
        <v>1254</v>
      </c>
      <c r="H42" s="1155"/>
      <c r="I42" s="1155"/>
      <c r="J42" s="1155"/>
      <c r="K42" s="1155"/>
      <c r="L42" s="184"/>
      <c r="M42" s="168">
        <v>36</v>
      </c>
      <c r="N42" s="290"/>
    </row>
    <row r="43" spans="1:14">
      <c r="A43" s="289"/>
      <c r="B43" s="164"/>
      <c r="C43" s="164"/>
      <c r="D43" s="164"/>
      <c r="E43" s="164"/>
      <c r="F43" s="164"/>
      <c r="G43" s="164"/>
      <c r="H43" s="314"/>
      <c r="I43" s="164"/>
      <c r="J43" s="164"/>
      <c r="K43" s="164"/>
      <c r="L43" s="164"/>
      <c r="M43" s="164"/>
      <c r="N43" s="290"/>
    </row>
    <row r="44" spans="1:14" ht="13.95" customHeight="1">
      <c r="A44" s="291"/>
      <c r="B44" s="292"/>
      <c r="C44" s="292"/>
      <c r="D44" s="292"/>
      <c r="E44" s="292"/>
      <c r="F44" s="292"/>
      <c r="G44" s="292"/>
      <c r="H44" s="315"/>
      <c r="I44" s="292"/>
      <c r="J44" s="292"/>
      <c r="K44" s="292"/>
      <c r="L44" s="292"/>
      <c r="M44" s="292"/>
      <c r="N44" s="293"/>
    </row>
    <row r="45" spans="1:14" ht="30" customHeight="1">
      <c r="A45" s="989" t="s">
        <v>431</v>
      </c>
      <c r="B45" s="990"/>
      <c r="C45" s="990"/>
      <c r="D45" s="990"/>
      <c r="E45" s="990"/>
      <c r="F45" s="990"/>
      <c r="G45" s="990"/>
      <c r="H45" s="990"/>
      <c r="I45" s="990"/>
      <c r="J45" s="990"/>
      <c r="K45" s="990"/>
      <c r="L45" s="990"/>
      <c r="M45" s="990"/>
      <c r="N45" s="991"/>
    </row>
    <row r="46" spans="1:14" ht="34.950000000000003" customHeight="1">
      <c r="A46" s="992"/>
      <c r="B46" s="993"/>
      <c r="C46" s="993"/>
      <c r="D46" s="993"/>
      <c r="E46" s="993"/>
      <c r="F46" s="993"/>
      <c r="G46" s="993"/>
      <c r="H46" s="993"/>
      <c r="I46" s="993"/>
      <c r="J46" s="993"/>
      <c r="K46" s="993"/>
      <c r="L46" s="993"/>
      <c r="M46" s="993"/>
      <c r="N46" s="994"/>
    </row>
    <row r="47" spans="1:14" ht="37.200000000000003" customHeight="1">
      <c r="A47" s="995" t="s">
        <v>1204</v>
      </c>
      <c r="B47" s="996"/>
      <c r="C47" s="996"/>
      <c r="D47" s="996"/>
      <c r="E47" s="996"/>
      <c r="F47" s="996"/>
      <c r="G47" s="996"/>
      <c r="H47" s="996"/>
      <c r="I47" s="996"/>
      <c r="J47" s="996"/>
      <c r="K47" s="996"/>
      <c r="L47" s="996"/>
      <c r="M47" s="996"/>
      <c r="N47" s="997"/>
    </row>
    <row r="48" spans="1:14" ht="37.200000000000003" customHeight="1">
      <c r="A48" s="995"/>
      <c r="B48" s="996"/>
      <c r="C48" s="996"/>
      <c r="D48" s="996"/>
      <c r="E48" s="996"/>
      <c r="F48" s="996"/>
      <c r="G48" s="996"/>
      <c r="H48" s="996"/>
      <c r="I48" s="996"/>
      <c r="J48" s="996"/>
      <c r="K48" s="996"/>
      <c r="L48" s="996"/>
      <c r="M48" s="996"/>
      <c r="N48" s="997"/>
    </row>
    <row r="49" spans="1:14" ht="4.95" customHeight="1">
      <c r="A49" s="282"/>
      <c r="B49" s="283"/>
      <c r="C49" s="283"/>
      <c r="D49" s="283"/>
      <c r="E49" s="283"/>
      <c r="F49" s="283"/>
      <c r="G49" s="283"/>
      <c r="H49" s="316"/>
      <c r="I49" s="283"/>
      <c r="J49" s="283"/>
      <c r="K49" s="283"/>
      <c r="L49" s="283"/>
      <c r="M49" s="283"/>
      <c r="N49" s="284"/>
    </row>
    <row r="50" spans="1:14" ht="30" customHeight="1">
      <c r="A50" s="282"/>
      <c r="B50" s="1151" t="s">
        <v>1203</v>
      </c>
      <c r="C50" s="1151"/>
      <c r="D50" s="1151"/>
      <c r="E50" s="1151"/>
      <c r="F50" s="1151"/>
      <c r="G50" s="1151"/>
      <c r="H50" s="1151"/>
      <c r="I50" s="1151"/>
      <c r="J50" s="1151"/>
      <c r="K50" s="1151"/>
      <c r="L50" s="1151"/>
      <c r="M50" s="1151"/>
      <c r="N50" s="284"/>
    </row>
    <row r="51" spans="1:14" ht="15" customHeight="1">
      <c r="A51" s="282"/>
      <c r="B51" s="1151"/>
      <c r="C51" s="1151"/>
      <c r="D51" s="1151"/>
      <c r="E51" s="1151"/>
      <c r="F51" s="1151"/>
      <c r="G51" s="1151"/>
      <c r="H51" s="1151"/>
      <c r="I51" s="1151"/>
      <c r="J51" s="1151"/>
      <c r="K51" s="1151"/>
      <c r="L51" s="1151"/>
      <c r="M51" s="1151"/>
      <c r="N51" s="284"/>
    </row>
    <row r="52" spans="1:14" ht="4.95" customHeight="1">
      <c r="A52" s="282"/>
      <c r="B52" s="285"/>
      <c r="C52" s="285"/>
      <c r="D52" s="285"/>
      <c r="E52" s="285"/>
      <c r="F52" s="285"/>
      <c r="G52" s="285"/>
      <c r="H52" s="317"/>
      <c r="I52" s="285"/>
      <c r="J52" s="285"/>
      <c r="K52" s="285"/>
      <c r="L52" s="285"/>
      <c r="M52" s="285"/>
      <c r="N52" s="284"/>
    </row>
    <row r="53" spans="1:14" ht="10.199999999999999" customHeight="1">
      <c r="A53" s="274"/>
      <c r="B53" s="29"/>
      <c r="C53" s="29"/>
      <c r="D53" s="29"/>
      <c r="E53" s="29"/>
      <c r="F53" s="29"/>
      <c r="G53" s="29"/>
      <c r="H53" s="318"/>
      <c r="I53" s="29"/>
      <c r="J53" s="29"/>
      <c r="K53" s="29"/>
      <c r="L53" s="29"/>
      <c r="M53" s="29"/>
      <c r="N53" s="275"/>
    </row>
    <row r="54" spans="1:14" ht="15" customHeight="1">
      <c r="A54" s="274"/>
      <c r="B54" s="1206" t="s">
        <v>652</v>
      </c>
      <c r="C54" s="1206"/>
      <c r="D54" s="1206"/>
      <c r="E54" s="1206"/>
      <c r="F54" s="1206"/>
      <c r="G54" s="1206"/>
      <c r="H54" s="1206"/>
      <c r="I54" s="1206"/>
      <c r="J54" s="1206"/>
      <c r="K54" s="1206"/>
      <c r="L54" s="1206"/>
      <c r="M54" s="1206"/>
      <c r="N54" s="275"/>
    </row>
    <row r="55" spans="1:14" ht="15" customHeight="1">
      <c r="A55" s="274"/>
      <c r="B55" s="1206"/>
      <c r="C55" s="1206"/>
      <c r="D55" s="1206"/>
      <c r="E55" s="1206"/>
      <c r="F55" s="1206"/>
      <c r="G55" s="1206"/>
      <c r="H55" s="1206"/>
      <c r="I55" s="1206"/>
      <c r="J55" s="1206"/>
      <c r="K55" s="1206"/>
      <c r="L55" s="1206"/>
      <c r="M55" s="1206"/>
      <c r="N55" s="275"/>
    </row>
    <row r="56" spans="1:14" ht="15" customHeight="1">
      <c r="A56" s="274"/>
      <c r="B56" s="286"/>
      <c r="C56" s="286"/>
      <c r="D56" s="286"/>
      <c r="E56" s="286"/>
      <c r="F56" s="286"/>
      <c r="G56" s="286"/>
      <c r="H56" s="319"/>
      <c r="I56" s="286"/>
      <c r="J56" s="286"/>
      <c r="K56" s="286"/>
      <c r="L56" s="286"/>
      <c r="M56" s="286"/>
      <c r="N56" s="275"/>
    </row>
    <row r="57" spans="1:14" ht="10.199999999999999" customHeight="1">
      <c r="A57" s="274"/>
      <c r="B57" s="1214" t="s">
        <v>634</v>
      </c>
      <c r="C57" s="1214"/>
      <c r="D57" s="1214"/>
      <c r="E57" s="1214"/>
      <c r="F57" s="1214"/>
      <c r="G57" s="29"/>
      <c r="H57" s="318"/>
      <c r="I57" s="1215" t="s">
        <v>636</v>
      </c>
      <c r="J57" s="1215"/>
      <c r="K57" s="1215"/>
      <c r="L57" s="1215"/>
      <c r="M57" s="1215"/>
      <c r="N57" s="275"/>
    </row>
    <row r="58" spans="1:14" ht="15" customHeight="1">
      <c r="A58" s="274"/>
      <c r="B58" s="1214"/>
      <c r="C58" s="1214"/>
      <c r="D58" s="1214"/>
      <c r="E58" s="1214"/>
      <c r="F58" s="1214"/>
      <c r="G58" s="29"/>
      <c r="H58" s="318"/>
      <c r="I58" s="1215"/>
      <c r="J58" s="1215"/>
      <c r="K58" s="1215"/>
      <c r="L58" s="1215"/>
      <c r="M58" s="1215"/>
      <c r="N58" s="275"/>
    </row>
    <row r="59" spans="1:14" ht="15" customHeight="1">
      <c r="A59" s="274"/>
      <c r="B59" s="1214"/>
      <c r="C59" s="1214"/>
      <c r="D59" s="1214"/>
      <c r="E59" s="1214"/>
      <c r="F59" s="1214"/>
      <c r="G59" s="1207" t="s">
        <v>635</v>
      </c>
      <c r="H59" s="1207"/>
      <c r="I59" s="1215"/>
      <c r="J59" s="1215"/>
      <c r="K59" s="1215"/>
      <c r="L59" s="1215"/>
      <c r="M59" s="1215"/>
      <c r="N59" s="275"/>
    </row>
    <row r="60" spans="1:14" ht="15" customHeight="1">
      <c r="A60" s="274"/>
      <c r="B60" s="1214"/>
      <c r="C60" s="1214"/>
      <c r="D60" s="1214"/>
      <c r="E60" s="1214"/>
      <c r="F60" s="1214"/>
      <c r="G60" s="1207"/>
      <c r="H60" s="1207"/>
      <c r="I60" s="1215"/>
      <c r="J60" s="1215"/>
      <c r="K60" s="1215"/>
      <c r="L60" s="1215"/>
      <c r="M60" s="1215"/>
      <c r="N60" s="275"/>
    </row>
    <row r="61" spans="1:14" ht="10.199999999999999" customHeight="1">
      <c r="A61" s="274"/>
      <c r="B61" s="1214"/>
      <c r="C61" s="1214"/>
      <c r="D61" s="1214"/>
      <c r="E61" s="1214"/>
      <c r="F61" s="1214"/>
      <c r="G61" s="1207"/>
      <c r="H61" s="1207"/>
      <c r="I61" s="1215"/>
      <c r="J61" s="1215"/>
      <c r="K61" s="1215"/>
      <c r="L61" s="1215"/>
      <c r="M61" s="1215"/>
      <c r="N61" s="275"/>
    </row>
    <row r="62" spans="1:14" ht="15" customHeight="1" thickBot="1">
      <c r="A62" s="274"/>
      <c r="B62" s="286"/>
      <c r="C62" s="286"/>
      <c r="D62" s="286"/>
      <c r="E62" s="286"/>
      <c r="F62" s="286"/>
      <c r="G62" s="286"/>
      <c r="H62" s="319"/>
      <c r="I62" s="286"/>
      <c r="J62" s="286"/>
      <c r="K62" s="286"/>
      <c r="L62" s="286"/>
      <c r="M62" s="286"/>
      <c r="N62" s="275"/>
    </row>
    <row r="63" spans="1:14" ht="15" customHeight="1" thickTop="1">
      <c r="A63" s="274"/>
      <c r="B63" s="287" t="s">
        <v>637</v>
      </c>
      <c r="C63" s="29"/>
      <c r="D63" s="29"/>
      <c r="E63" s="1208" t="s">
        <v>643</v>
      </c>
      <c r="F63" s="1209"/>
      <c r="G63" s="1209"/>
      <c r="H63" s="1209"/>
      <c r="I63" s="1209"/>
      <c r="J63" s="1209"/>
      <c r="K63" s="1209"/>
      <c r="L63" s="1209"/>
      <c r="M63" s="1210"/>
      <c r="N63" s="275"/>
    </row>
    <row r="64" spans="1:14" ht="15" customHeight="1" thickBot="1">
      <c r="A64" s="274"/>
      <c r="B64" s="287" t="s">
        <v>638</v>
      </c>
      <c r="C64" s="29"/>
      <c r="D64" s="29"/>
      <c r="E64" s="1211"/>
      <c r="F64" s="1212"/>
      <c r="G64" s="1212"/>
      <c r="H64" s="1212"/>
      <c r="I64" s="1212"/>
      <c r="J64" s="1212"/>
      <c r="K64" s="1212"/>
      <c r="L64" s="1212"/>
      <c r="M64" s="1213"/>
      <c r="N64" s="275"/>
    </row>
    <row r="65" spans="1:62" ht="10.199999999999999" customHeight="1" thickTop="1">
      <c r="A65" s="274"/>
      <c r="B65" s="286"/>
      <c r="C65" s="286"/>
      <c r="D65" s="286"/>
      <c r="E65" s="286"/>
      <c r="F65" s="286"/>
      <c r="G65" s="286"/>
      <c r="H65" s="319"/>
      <c r="I65" s="286"/>
      <c r="J65" s="286"/>
      <c r="K65" s="286"/>
      <c r="L65" s="286"/>
      <c r="M65" s="286"/>
      <c r="N65" s="275"/>
    </row>
    <row r="66" spans="1:62" ht="15" customHeight="1">
      <c r="A66" s="1216" t="str">
        <f>IF(OR($E$63=$BF$74,$E$63=""),"+","")</f>
        <v>+</v>
      </c>
      <c r="B66" s="1188" t="str">
        <f>IF(E63="","INSTRUCTIONS: How to get the most from this",BF67)</f>
        <v xml:space="preserve">INSTRUCTIONS: How to get the most from this </v>
      </c>
      <c r="C66" s="1188"/>
      <c r="D66" s="1188"/>
      <c r="E66" s="1188"/>
      <c r="F66" s="1188"/>
      <c r="G66" s="1188"/>
      <c r="H66" s="1188"/>
      <c r="I66" s="1188"/>
      <c r="J66" s="1188"/>
      <c r="K66" s="1188"/>
      <c r="L66" s="1188"/>
      <c r="M66" s="1188"/>
      <c r="N66" s="1187" t="str">
        <f>IF(OR($E$63=$BF$74,$E$63=""),"+","")</f>
        <v>+</v>
      </c>
    </row>
    <row r="67" spans="1:62" ht="15" customHeight="1">
      <c r="A67" s="1216"/>
      <c r="B67" s="1188"/>
      <c r="C67" s="1188"/>
      <c r="D67" s="1188"/>
      <c r="E67" s="1188"/>
      <c r="F67" s="1188"/>
      <c r="G67" s="1188"/>
      <c r="H67" s="1188"/>
      <c r="I67" s="1188"/>
      <c r="J67" s="1188"/>
      <c r="K67" s="1188"/>
      <c r="L67" s="1188"/>
      <c r="M67" s="1188"/>
      <c r="N67" s="1187"/>
      <c r="BF67" s="46" t="str">
        <f>IF($E$63=$BF$74,BH67,IF($E$63=$BF$75,BI67,IF($E$63=$BF$76,BJ67,"")))</f>
        <v xml:space="preserve">INSTRUCTIONS: How to get the most from this </v>
      </c>
      <c r="BH67" s="46" t="s">
        <v>644</v>
      </c>
      <c r="BI67" s="46" t="s">
        <v>645</v>
      </c>
      <c r="BJ67" s="46" t="s">
        <v>646</v>
      </c>
    </row>
    <row r="68" spans="1:62" ht="15" customHeight="1">
      <c r="A68" s="1216"/>
      <c r="B68" s="969" t="str">
        <f>IF(E63="",BH70,BF70)</f>
        <v>This tool is interactive. Wherever you see a white field, select what best fits your experience. Then see how it changes the text below it. This text will be replaced when you select an option from the dropdown menu above.</v>
      </c>
      <c r="C68" s="969"/>
      <c r="D68" s="969"/>
      <c r="E68" s="969"/>
      <c r="F68" s="969"/>
      <c r="G68" s="969"/>
      <c r="H68" s="969"/>
      <c r="I68" s="969"/>
      <c r="J68" s="969"/>
      <c r="K68" s="969"/>
      <c r="L68" s="969"/>
      <c r="M68" s="969"/>
      <c r="N68" s="1187"/>
    </row>
    <row r="69" spans="1:62" ht="10.199999999999999" customHeight="1">
      <c r="A69" s="1216"/>
      <c r="B69" s="969"/>
      <c r="C69" s="969"/>
      <c r="D69" s="969"/>
      <c r="E69" s="969"/>
      <c r="F69" s="969"/>
      <c r="G69" s="969"/>
      <c r="H69" s="969"/>
      <c r="I69" s="969"/>
      <c r="J69" s="969"/>
      <c r="K69" s="969"/>
      <c r="L69" s="969"/>
      <c r="M69" s="969"/>
      <c r="N69" s="1187"/>
    </row>
    <row r="70" spans="1:62" ht="15" customHeight="1">
      <c r="A70" s="1216"/>
      <c r="B70" s="969"/>
      <c r="C70" s="969"/>
      <c r="D70" s="969"/>
      <c r="E70" s="969"/>
      <c r="F70" s="969"/>
      <c r="G70" s="969"/>
      <c r="H70" s="969"/>
      <c r="I70" s="969"/>
      <c r="J70" s="969"/>
      <c r="K70" s="969"/>
      <c r="L70" s="969"/>
      <c r="M70" s="969"/>
      <c r="N70" s="1187"/>
      <c r="BF70" s="46" t="str">
        <f>IF($E$63=$BF$74,BH70,IF($E$63=$BF$75,BI70,IF($E$63=$BF$76,BJ70,"")))</f>
        <v>This tool is interactive. Wherever you see a white field, select what best fits your experience. Then see how it changes the text below it. This text will be replaced when you select an option from the dropdown menu above.</v>
      </c>
      <c r="BH70" s="46" t="s">
        <v>647</v>
      </c>
      <c r="BI70" s="46" t="s">
        <v>648</v>
      </c>
      <c r="BJ70" s="46" t="s">
        <v>649</v>
      </c>
    </row>
    <row r="71" spans="1:62" ht="15" customHeight="1">
      <c r="A71" s="1216"/>
      <c r="B71" s="969"/>
      <c r="C71" s="969"/>
      <c r="D71" s="969"/>
      <c r="E71" s="969"/>
      <c r="F71" s="969"/>
      <c r="G71" s="969"/>
      <c r="H71" s="969"/>
      <c r="I71" s="969"/>
      <c r="J71" s="969"/>
      <c r="K71" s="969"/>
      <c r="L71" s="969"/>
      <c r="M71" s="969"/>
      <c r="N71" s="1187"/>
      <c r="BF71" s="46" t="str">
        <f>IF($E$63=$BF$74,BH71,IF($E$63=$BF$75,BI71,IF($E$63=$BF$76,BJ71,"")))</f>
        <v>Look for the "I" in a green circle, at the right, to indicate each Interactive feature. Your input brings this information alive with your own lived experiences. We aim to be as specific as possible. This interactive feature lets its insights be more specific to your life.</v>
      </c>
      <c r="BH71" s="46" t="s">
        <v>1215</v>
      </c>
      <c r="BI71" s="46" t="s">
        <v>642</v>
      </c>
      <c r="BJ71" s="46" t="s">
        <v>651</v>
      </c>
    </row>
    <row r="72" spans="1:62" ht="15" customHeight="1">
      <c r="A72" s="1216"/>
      <c r="B72" s="969"/>
      <c r="C72" s="969"/>
      <c r="D72" s="969"/>
      <c r="E72" s="969"/>
      <c r="F72" s="969"/>
      <c r="G72" s="969"/>
      <c r="H72" s="969"/>
      <c r="I72" s="969"/>
      <c r="J72" s="969"/>
      <c r="K72" s="969"/>
      <c r="L72" s="969"/>
      <c r="M72" s="969"/>
      <c r="N72" s="1187"/>
      <c r="BF72" s="46" t="str">
        <f>IF($E$63=$BF$74,BH72,IF($E$63=$BF$75,BI72,IF($E$63=$BF$76,BJ72,"")))</f>
        <v xml:space="preserve">This is the first version of this tool. You can expect it to be revised, as we learn from each other. Remember, politics exist for you and your needs. You and your needs do not exist for politics. </v>
      </c>
      <c r="BH72" s="46" t="s">
        <v>1214</v>
      </c>
      <c r="BI72" s="46" t="s">
        <v>641</v>
      </c>
      <c r="BJ72" s="46" t="s">
        <v>650</v>
      </c>
    </row>
    <row r="73" spans="1:62" ht="10.199999999999999" customHeight="1">
      <c r="A73" s="1216"/>
      <c r="B73" s="969"/>
      <c r="C73" s="969"/>
      <c r="D73" s="969"/>
      <c r="E73" s="969"/>
      <c r="F73" s="969"/>
      <c r="G73" s="969"/>
      <c r="H73" s="969"/>
      <c r="I73" s="969"/>
      <c r="J73" s="969"/>
      <c r="K73" s="969"/>
      <c r="L73" s="969"/>
      <c r="M73" s="969"/>
      <c r="N73" s="1187"/>
    </row>
    <row r="74" spans="1:62" ht="15" customHeight="1">
      <c r="A74" s="1216"/>
      <c r="B74" s="969" t="str">
        <f>IF(E63="",BH71,BF71)</f>
        <v>Look for the "I" in a green circle, at the right, to indicate each Interactive feature. Your input brings this information alive with your own lived experiences. We aim to be as specific as possible. This interactive feature lets its insights be more specific to your life.</v>
      </c>
      <c r="C74" s="969"/>
      <c r="D74" s="969"/>
      <c r="E74" s="969"/>
      <c r="F74" s="969"/>
      <c r="G74" s="969"/>
      <c r="H74" s="969"/>
      <c r="I74" s="969"/>
      <c r="J74" s="969"/>
      <c r="K74" s="969"/>
      <c r="L74" s="969"/>
      <c r="M74" s="969"/>
      <c r="N74" s="1187"/>
      <c r="BF74" s="137" t="s">
        <v>643</v>
      </c>
    </row>
    <row r="75" spans="1:62" ht="15" customHeight="1">
      <c r="A75" s="1216"/>
      <c r="B75" s="969"/>
      <c r="C75" s="969"/>
      <c r="D75" s="969"/>
      <c r="E75" s="969"/>
      <c r="F75" s="969"/>
      <c r="G75" s="969"/>
      <c r="H75" s="969"/>
      <c r="I75" s="969"/>
      <c r="J75" s="969"/>
      <c r="K75" s="969"/>
      <c r="L75" s="969"/>
      <c r="M75" s="969"/>
      <c r="N75" s="1187"/>
      <c r="BF75" s="2" t="str">
        <f>B57</f>
        <v>We freely choose our political positions after carefully reasoning each option.</v>
      </c>
    </row>
    <row r="76" spans="1:62" ht="15" customHeight="1">
      <c r="A76" s="1216"/>
      <c r="B76" s="969"/>
      <c r="C76" s="969"/>
      <c r="D76" s="969"/>
      <c r="E76" s="969"/>
      <c r="F76" s="969"/>
      <c r="G76" s="969"/>
      <c r="H76" s="969"/>
      <c r="I76" s="969"/>
      <c r="J76" s="969"/>
      <c r="K76" s="969"/>
      <c r="L76" s="969"/>
      <c r="M76" s="969"/>
      <c r="N76" s="1187"/>
      <c r="BF76" s="2" t="str">
        <f>I57</f>
        <v>We're compelled to choose a political position that best fits our painful needs.</v>
      </c>
    </row>
    <row r="77" spans="1:62" ht="10.199999999999999" customHeight="1">
      <c r="A77" s="1216"/>
      <c r="B77" s="969"/>
      <c r="C77" s="969"/>
      <c r="D77" s="969"/>
      <c r="E77" s="969"/>
      <c r="F77" s="969"/>
      <c r="G77" s="969"/>
      <c r="H77" s="969"/>
      <c r="I77" s="969"/>
      <c r="J77" s="969"/>
      <c r="K77" s="969"/>
      <c r="L77" s="969"/>
      <c r="M77" s="969"/>
      <c r="N77" s="1187"/>
    </row>
    <row r="78" spans="1:62" ht="15" customHeight="1">
      <c r="A78" s="1216"/>
      <c r="B78" s="969"/>
      <c r="C78" s="969"/>
      <c r="D78" s="969"/>
      <c r="E78" s="969"/>
      <c r="F78" s="969"/>
      <c r="G78" s="969"/>
      <c r="H78" s="969"/>
      <c r="I78" s="969"/>
      <c r="J78" s="969"/>
      <c r="K78" s="969"/>
      <c r="L78" s="969"/>
      <c r="M78" s="969"/>
      <c r="N78" s="1187"/>
    </row>
    <row r="79" spans="1:62" ht="15" customHeight="1">
      <c r="A79" s="1216"/>
      <c r="B79" s="969"/>
      <c r="C79" s="969"/>
      <c r="D79" s="969"/>
      <c r="E79" s="969"/>
      <c r="F79" s="969"/>
      <c r="G79" s="969"/>
      <c r="H79" s="969"/>
      <c r="I79" s="969"/>
      <c r="J79" s="969"/>
      <c r="K79" s="969"/>
      <c r="L79" s="969"/>
      <c r="M79" s="969"/>
      <c r="N79" s="1187"/>
    </row>
    <row r="80" spans="1:62" ht="15" customHeight="1">
      <c r="A80" s="1216"/>
      <c r="B80" s="969" t="str">
        <f>IF(E63="",BH72,BF72)</f>
        <v xml:space="preserve">This is the first version of this tool. You can expect it to be revised, as we learn from each other. Remember, politics exist for you and your needs. You and your needs do not exist for politics. </v>
      </c>
      <c r="C80" s="969"/>
      <c r="D80" s="969"/>
      <c r="E80" s="969"/>
      <c r="F80" s="969"/>
      <c r="G80" s="969"/>
      <c r="H80" s="969"/>
      <c r="I80" s="969"/>
      <c r="J80" s="969"/>
      <c r="K80" s="969"/>
      <c r="L80" s="969"/>
      <c r="M80" s="969"/>
      <c r="N80" s="1187"/>
    </row>
    <row r="81" spans="1:30" ht="10.199999999999999" customHeight="1">
      <c r="A81" s="1216"/>
      <c r="B81" s="969"/>
      <c r="C81" s="969"/>
      <c r="D81" s="969"/>
      <c r="E81" s="969"/>
      <c r="F81" s="969"/>
      <c r="G81" s="969"/>
      <c r="H81" s="969"/>
      <c r="I81" s="969"/>
      <c r="J81" s="969"/>
      <c r="K81" s="969"/>
      <c r="L81" s="969"/>
      <c r="M81" s="969"/>
      <c r="N81" s="1187"/>
    </row>
    <row r="82" spans="1:30" ht="15" customHeight="1">
      <c r="A82" s="1216"/>
      <c r="B82" s="969"/>
      <c r="C82" s="969"/>
      <c r="D82" s="969"/>
      <c r="E82" s="969"/>
      <c r="F82" s="969"/>
      <c r="G82" s="969"/>
      <c r="H82" s="969"/>
      <c r="I82" s="969"/>
      <c r="J82" s="969"/>
      <c r="K82" s="969"/>
      <c r="L82" s="969"/>
      <c r="M82" s="969"/>
      <c r="N82" s="1187"/>
    </row>
    <row r="83" spans="1:30" ht="15" customHeight="1">
      <c r="A83" s="1216"/>
      <c r="B83" s="969"/>
      <c r="C83" s="969"/>
      <c r="D83" s="969"/>
      <c r="E83" s="969"/>
      <c r="F83" s="969"/>
      <c r="G83" s="969"/>
      <c r="H83" s="969"/>
      <c r="I83" s="969"/>
      <c r="J83" s="969"/>
      <c r="K83" s="969"/>
      <c r="L83" s="969"/>
      <c r="M83" s="969"/>
      <c r="N83" s="1187"/>
    </row>
    <row r="84" spans="1:30" ht="15" customHeight="1">
      <c r="A84" s="1216"/>
      <c r="B84" s="969"/>
      <c r="C84" s="969"/>
      <c r="D84" s="969"/>
      <c r="E84" s="969"/>
      <c r="F84" s="969"/>
      <c r="G84" s="969"/>
      <c r="H84" s="969"/>
      <c r="I84" s="969"/>
      <c r="J84" s="969"/>
      <c r="K84" s="969"/>
      <c r="L84" s="969"/>
      <c r="M84" s="969"/>
      <c r="N84" s="1187"/>
    </row>
    <row r="85" spans="1:30" ht="4.95" customHeight="1">
      <c r="A85" s="274"/>
      <c r="B85" s="288"/>
      <c r="C85" s="288"/>
      <c r="D85" s="288"/>
      <c r="E85" s="288"/>
      <c r="F85" s="288"/>
      <c r="G85" s="288"/>
      <c r="H85" s="320"/>
      <c r="I85" s="288"/>
      <c r="J85" s="288"/>
      <c r="K85" s="288"/>
      <c r="L85" s="288"/>
      <c r="M85" s="288"/>
      <c r="N85" s="275"/>
    </row>
    <row r="86" spans="1:30" ht="15" customHeight="1">
      <c r="A86" s="274"/>
      <c r="B86" s="1217" t="str">
        <f>IF(E63&lt;&gt;"","HARMONY POLITICS overcomes polarizing hate with love","")</f>
        <v>HARMONY POLITICS overcomes polarizing hate with love</v>
      </c>
      <c r="C86" s="1217"/>
      <c r="D86" s="1217"/>
      <c r="E86" s="1217"/>
      <c r="F86" s="1217"/>
      <c r="G86" s="1217"/>
      <c r="H86" s="1217"/>
      <c r="I86" s="1217"/>
      <c r="J86" s="1217"/>
      <c r="K86" s="1217"/>
      <c r="L86" s="1217"/>
      <c r="M86" s="1217"/>
      <c r="N86" s="275"/>
    </row>
    <row r="87" spans="1:30" ht="15" customHeight="1">
      <c r="A87" s="274"/>
      <c r="B87" s="1217"/>
      <c r="C87" s="1217"/>
      <c r="D87" s="1217"/>
      <c r="E87" s="1217"/>
      <c r="F87" s="1217"/>
      <c r="G87" s="1217"/>
      <c r="H87" s="1217"/>
      <c r="I87" s="1217"/>
      <c r="J87" s="1217"/>
      <c r="K87" s="1217"/>
      <c r="L87" s="1217"/>
      <c r="M87" s="1217"/>
      <c r="N87" s="275"/>
    </row>
    <row r="88" spans="1:30" ht="4.95" customHeight="1">
      <c r="A88" s="276"/>
      <c r="B88" s="277"/>
      <c r="C88" s="277"/>
      <c r="D88" s="277"/>
      <c r="E88" s="277"/>
      <c r="F88" s="277"/>
      <c r="G88" s="277"/>
      <c r="H88" s="321"/>
      <c r="I88" s="277"/>
      <c r="J88" s="277"/>
      <c r="K88" s="277"/>
      <c r="L88" s="277"/>
      <c r="M88" s="277"/>
      <c r="N88" s="278"/>
    </row>
    <row r="89" spans="1:30" ht="30" customHeight="1">
      <c r="A89" s="258" t="s">
        <v>1148</v>
      </c>
      <c r="B89" s="946" t="s">
        <v>68</v>
      </c>
      <c r="C89" s="946"/>
      <c r="D89" s="946"/>
      <c r="E89" s="946"/>
      <c r="F89" s="946"/>
      <c r="G89" s="946"/>
      <c r="H89" s="946"/>
      <c r="I89" s="946"/>
      <c r="J89" s="946"/>
      <c r="K89" s="946"/>
      <c r="L89" s="946"/>
      <c r="M89" s="264"/>
      <c r="N89" s="260" t="s">
        <v>1149</v>
      </c>
      <c r="AC89" s="1"/>
    </row>
    <row r="90" spans="1:30">
      <c r="A90" s="253"/>
      <c r="B90" s="28"/>
      <c r="C90" s="28"/>
      <c r="D90" s="28"/>
      <c r="E90" s="28"/>
      <c r="F90" s="28"/>
      <c r="G90" s="28"/>
      <c r="H90" s="322"/>
      <c r="I90" s="28"/>
      <c r="J90" s="28"/>
      <c r="K90" s="28"/>
      <c r="L90" s="28"/>
      <c r="M90" s="28"/>
      <c r="N90" s="254"/>
      <c r="AC90" s="1"/>
    </row>
    <row r="91" spans="1:30">
      <c r="A91" s="253"/>
      <c r="B91" s="28"/>
      <c r="C91" s="28"/>
      <c r="D91" s="28"/>
      <c r="E91" s="28"/>
      <c r="F91" s="28"/>
      <c r="G91" s="28"/>
      <c r="H91" s="322"/>
      <c r="I91" s="28"/>
      <c r="J91" s="28"/>
      <c r="K91" s="28"/>
      <c r="L91" s="28"/>
      <c r="M91" s="28"/>
      <c r="N91" s="254"/>
      <c r="AC91" s="1"/>
    </row>
    <row r="92" spans="1:30" ht="45" customHeight="1">
      <c r="A92" s="253"/>
      <c r="B92" s="28"/>
      <c r="C92" s="28"/>
      <c r="D92" s="28"/>
      <c r="E92" s="28"/>
      <c r="F92" s="28"/>
      <c r="G92" s="28"/>
      <c r="H92" s="322"/>
      <c r="I92" s="28"/>
      <c r="J92" s="28"/>
      <c r="K92" s="28"/>
      <c r="L92" s="28"/>
      <c r="M92" s="28"/>
      <c r="N92" s="254"/>
      <c r="AC92" s="1"/>
    </row>
    <row r="93" spans="1:30">
      <c r="A93" s="253"/>
      <c r="B93" s="28"/>
      <c r="C93" s="28"/>
      <c r="D93" s="28"/>
      <c r="E93" s="28"/>
      <c r="F93" s="28"/>
      <c r="G93" s="28"/>
      <c r="H93" s="322"/>
      <c r="I93" s="28"/>
      <c r="J93" s="28"/>
      <c r="K93" s="28"/>
      <c r="L93" s="28"/>
      <c r="M93" s="28"/>
      <c r="N93" s="254"/>
      <c r="AC93" s="1"/>
    </row>
    <row r="94" spans="1:30" ht="30" customHeight="1">
      <c r="A94" s="253"/>
      <c r="B94" s="28"/>
      <c r="C94" s="28"/>
      <c r="D94" s="28"/>
      <c r="E94" s="28"/>
      <c r="F94" s="28"/>
      <c r="G94" s="28"/>
      <c r="H94" s="322"/>
      <c r="I94" s="28"/>
      <c r="J94" s="28"/>
      <c r="K94" s="28"/>
      <c r="L94" s="28"/>
      <c r="M94" s="28"/>
      <c r="N94" s="254"/>
      <c r="AC94" s="1"/>
      <c r="AD94" s="45"/>
    </row>
    <row r="95" spans="1:30" ht="30" customHeight="1">
      <c r="A95" s="253"/>
      <c r="B95" s="28"/>
      <c r="C95" s="28"/>
      <c r="D95" s="28"/>
      <c r="E95" s="28"/>
      <c r="F95" s="28"/>
      <c r="G95" s="28"/>
      <c r="H95" s="322"/>
      <c r="I95" s="28"/>
      <c r="J95" s="28"/>
      <c r="K95" s="28"/>
      <c r="L95" s="28"/>
      <c r="M95" s="28"/>
      <c r="N95" s="254"/>
      <c r="AC95" s="1"/>
    </row>
    <row r="96" spans="1:30" ht="30" customHeight="1">
      <c r="A96" s="253"/>
      <c r="B96" s="28"/>
      <c r="C96" s="28"/>
      <c r="D96" s="28"/>
      <c r="E96" s="28"/>
      <c r="F96" s="28"/>
      <c r="G96" s="28"/>
      <c r="H96" s="322"/>
      <c r="I96" s="28"/>
      <c r="J96" s="28"/>
      <c r="K96" s="28"/>
      <c r="L96" s="28"/>
      <c r="M96" s="28"/>
      <c r="N96" s="254"/>
      <c r="AC96" s="1"/>
    </row>
    <row r="97" spans="1:69">
      <c r="A97" s="253"/>
      <c r="B97" s="40"/>
      <c r="C97" s="28"/>
      <c r="D97" s="28"/>
      <c r="E97" s="28"/>
      <c r="F97" s="28"/>
      <c r="G97" s="28"/>
      <c r="H97" s="322"/>
      <c r="I97" s="28"/>
      <c r="J97" s="28"/>
      <c r="K97" s="28"/>
      <c r="L97" s="28"/>
      <c r="M97" s="28"/>
      <c r="N97" s="254"/>
      <c r="AC97" s="1"/>
    </row>
    <row r="98" spans="1:69">
      <c r="A98" s="253"/>
      <c r="B98" s="28"/>
      <c r="C98" s="28"/>
      <c r="D98" s="28"/>
      <c r="E98" s="28"/>
      <c r="F98" s="28"/>
      <c r="G98" s="28"/>
      <c r="H98" s="322"/>
      <c r="I98" s="28"/>
      <c r="J98" s="28"/>
      <c r="K98" s="28"/>
      <c r="L98" s="28"/>
      <c r="M98" s="28"/>
      <c r="N98" s="254"/>
      <c r="AC98" s="1"/>
    </row>
    <row r="99" spans="1:69" ht="30" customHeight="1">
      <c r="A99" s="253"/>
      <c r="B99" s="28"/>
      <c r="C99" s="28"/>
      <c r="D99" s="28"/>
      <c r="E99" s="28"/>
      <c r="F99" s="28"/>
      <c r="G99" s="28"/>
      <c r="H99" s="322"/>
      <c r="I99" s="28"/>
      <c r="J99" s="28"/>
      <c r="K99" s="28"/>
      <c r="L99" s="28"/>
      <c r="M99" s="28"/>
      <c r="N99" s="254"/>
      <c r="AC99" s="1"/>
    </row>
    <row r="100" spans="1:69" ht="30" customHeight="1">
      <c r="A100" s="253"/>
      <c r="B100" s="28"/>
      <c r="C100" s="28"/>
      <c r="D100" s="28"/>
      <c r="E100" s="28"/>
      <c r="F100" s="28"/>
      <c r="G100" s="28"/>
      <c r="H100" s="322"/>
      <c r="I100" s="28"/>
      <c r="J100" s="28"/>
      <c r="K100" s="28"/>
      <c r="L100" s="28"/>
      <c r="M100" s="28"/>
      <c r="N100" s="254"/>
      <c r="AC100" s="1"/>
      <c r="BB100" s="37" t="s">
        <v>66</v>
      </c>
      <c r="BC100" s="37" t="s">
        <v>67</v>
      </c>
    </row>
    <row r="101" spans="1:69">
      <c r="A101" s="253"/>
      <c r="B101" s="28"/>
      <c r="C101" s="28"/>
      <c r="D101" s="28"/>
      <c r="E101" s="28"/>
      <c r="F101" s="28"/>
      <c r="G101" s="28"/>
      <c r="H101" s="322"/>
      <c r="I101" s="28"/>
      <c r="J101" s="28"/>
      <c r="K101" s="28"/>
      <c r="L101" s="28"/>
      <c r="M101" s="28"/>
      <c r="N101" s="254"/>
      <c r="AC101" s="1"/>
      <c r="BB101" s="191" t="s">
        <v>557</v>
      </c>
      <c r="BC101" s="192" t="s">
        <v>571</v>
      </c>
      <c r="BD101" s="154" t="str">
        <f>CONCATENATE(BE101,BF101,BG101,BI101)</f>
        <v>Resolving this more than resolving that</v>
      </c>
      <c r="BE101" s="2" t="s">
        <v>555</v>
      </c>
      <c r="BF101" s="2" t="str">
        <f>IF(B173="","this",$B$173)</f>
        <v>this</v>
      </c>
      <c r="BG101" s="2" t="s">
        <v>556</v>
      </c>
      <c r="BI101" s="2" t="str">
        <f>IF(H173="","that",$H$173)</f>
        <v>that</v>
      </c>
      <c r="BL101" s="37" t="str">
        <f>CONCATENATE(BM101,BN101,BO101,BQ101)</f>
        <v>My need for this tends to be more resolved than my need for that</v>
      </c>
      <c r="BM101" s="2" t="s">
        <v>950</v>
      </c>
      <c r="BN101" s="2" t="str">
        <f>BF101</f>
        <v>this</v>
      </c>
      <c r="BO101" s="2" t="s">
        <v>1206</v>
      </c>
      <c r="BQ101" s="2" t="str">
        <f>BI101</f>
        <v>that</v>
      </c>
    </row>
    <row r="102" spans="1:69">
      <c r="A102" s="253"/>
      <c r="B102" s="28"/>
      <c r="C102" s="28"/>
      <c r="D102" s="28"/>
      <c r="E102" s="28"/>
      <c r="F102" s="28"/>
      <c r="G102" s="28"/>
      <c r="H102" s="322"/>
      <c r="I102" s="28"/>
      <c r="J102" s="28"/>
      <c r="K102" s="28"/>
      <c r="L102" s="28"/>
      <c r="M102" s="28"/>
      <c r="N102" s="254"/>
      <c r="AC102" s="1"/>
      <c r="BB102" s="191" t="s">
        <v>558</v>
      </c>
      <c r="BC102" s="192" t="s">
        <v>572</v>
      </c>
      <c r="BD102" s="154" t="str">
        <f>CONCATENATE(BE102,BI102,BG102,BF102)</f>
        <v>Resolving this more than resolving that</v>
      </c>
      <c r="BE102" s="2" t="s">
        <v>555</v>
      </c>
      <c r="BF102" s="2" t="str">
        <f>IF(H173="","that",$H$173)</f>
        <v>that</v>
      </c>
      <c r="BG102" s="2" t="s">
        <v>556</v>
      </c>
      <c r="BI102" s="2" t="str">
        <f>IF(B173="","this",$B$173)</f>
        <v>this</v>
      </c>
      <c r="BL102" s="37" t="str">
        <f>CONCATENATE(BM102,BN102,BO102,BQ102)</f>
        <v>My need for that tends to be more resolved than my need for this</v>
      </c>
      <c r="BM102" s="2" t="s">
        <v>950</v>
      </c>
      <c r="BN102" s="2" t="str">
        <f>BF102</f>
        <v>that</v>
      </c>
      <c r="BO102" s="2" t="s">
        <v>1206</v>
      </c>
      <c r="BQ102" s="2" t="str">
        <f>BI102</f>
        <v>this</v>
      </c>
    </row>
    <row r="103" spans="1:69" ht="19.95" customHeight="1">
      <c r="A103" s="253"/>
      <c r="B103" s="28"/>
      <c r="C103" s="28"/>
      <c r="D103" s="28"/>
      <c r="E103" s="28"/>
      <c r="F103" s="28"/>
      <c r="G103" s="28"/>
      <c r="H103" s="322"/>
      <c r="I103" s="28"/>
      <c r="J103" s="28"/>
      <c r="K103" s="28"/>
      <c r="L103" s="28"/>
      <c r="M103" s="28"/>
      <c r="N103" s="254"/>
      <c r="AC103" s="1"/>
      <c r="BB103" s="191" t="s">
        <v>559</v>
      </c>
      <c r="BC103" s="192" t="s">
        <v>573</v>
      </c>
    </row>
    <row r="104" spans="1:69" ht="19.95" customHeight="1">
      <c r="A104" s="253"/>
      <c r="B104" s="28"/>
      <c r="C104" s="28"/>
      <c r="D104" s="28"/>
      <c r="E104" s="28"/>
      <c r="F104" s="28"/>
      <c r="G104" s="28"/>
      <c r="H104" s="322"/>
      <c r="I104" s="28"/>
      <c r="J104" s="28"/>
      <c r="K104" s="28"/>
      <c r="L104" s="28"/>
      <c r="M104" s="28"/>
      <c r="N104" s="254"/>
      <c r="AC104" s="1"/>
      <c r="BB104" s="191" t="s">
        <v>560</v>
      </c>
      <c r="BC104" s="192" t="s">
        <v>574</v>
      </c>
    </row>
    <row r="105" spans="1:69" ht="19.95" customHeight="1">
      <c r="A105" s="253"/>
      <c r="B105" s="28"/>
      <c r="C105" s="28"/>
      <c r="D105" s="28"/>
      <c r="E105" s="28"/>
      <c r="F105" s="28"/>
      <c r="G105" s="28"/>
      <c r="H105" s="322"/>
      <c r="I105" s="28"/>
      <c r="J105" s="28"/>
      <c r="K105" s="28"/>
      <c r="L105" s="28"/>
      <c r="M105" s="28"/>
      <c r="N105" s="254"/>
      <c r="AC105" s="1"/>
      <c r="BB105" s="191" t="s">
        <v>561</v>
      </c>
      <c r="BC105" s="192" t="s">
        <v>575</v>
      </c>
    </row>
    <row r="106" spans="1:69" ht="19.95" customHeight="1">
      <c r="A106" s="253"/>
      <c r="B106" s="28"/>
      <c r="C106" s="28"/>
      <c r="D106" s="28"/>
      <c r="E106" s="28"/>
      <c r="F106" s="28"/>
      <c r="G106" s="28"/>
      <c r="H106" s="322"/>
      <c r="I106" s="28"/>
      <c r="J106" s="28"/>
      <c r="K106" s="28"/>
      <c r="L106" s="28"/>
      <c r="M106" s="28"/>
      <c r="N106" s="254"/>
      <c r="AC106" s="1"/>
      <c r="BB106" s="191" t="s">
        <v>562</v>
      </c>
      <c r="BC106" s="193" t="s">
        <v>181</v>
      </c>
      <c r="BE106" s="2" t="str">
        <f>IF($B$176=BL101,BF109,BF113)</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7" spans="1:69" ht="19.95" customHeight="1">
      <c r="A107" s="253"/>
      <c r="B107" s="28"/>
      <c r="C107" s="28"/>
      <c r="D107" s="28"/>
      <c r="E107" s="28"/>
      <c r="F107" s="28"/>
      <c r="G107" s="28"/>
      <c r="H107" s="322"/>
      <c r="I107" s="28"/>
      <c r="J107" s="28"/>
      <c r="K107" s="28"/>
      <c r="L107" s="28"/>
      <c r="M107" s="28"/>
      <c r="N107" s="254"/>
      <c r="AC107" s="1"/>
      <c r="BB107" s="191" t="s">
        <v>563</v>
      </c>
      <c r="BC107" s="192" t="s">
        <v>576</v>
      </c>
      <c r="BE107" s="2" t="str">
        <f>IF($B$176=BL102,BF113,BF109)</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8" spans="1:69" ht="19.95" customHeight="1">
      <c r="A108" s="253"/>
      <c r="B108" s="28"/>
      <c r="C108" s="28"/>
      <c r="D108" s="28"/>
      <c r="E108" s="28"/>
      <c r="F108" s="28"/>
      <c r="G108" s="28"/>
      <c r="H108" s="322"/>
      <c r="I108" s="28"/>
      <c r="J108" s="28"/>
      <c r="K108" s="28"/>
      <c r="L108" s="28"/>
      <c r="M108" s="28"/>
      <c r="N108" s="254"/>
      <c r="AC108" s="1"/>
      <c r="BB108" s="191" t="s">
        <v>564</v>
      </c>
      <c r="BC108" s="192" t="s">
        <v>577</v>
      </c>
    </row>
    <row r="109" spans="1:69" ht="19.95" customHeight="1">
      <c r="A109" s="253"/>
      <c r="B109" s="28"/>
      <c r="C109" s="28"/>
      <c r="D109" s="28"/>
      <c r="E109" s="28"/>
      <c r="F109" s="28"/>
      <c r="G109" s="28"/>
      <c r="H109" s="322"/>
      <c r="I109" s="28"/>
      <c r="J109" s="28"/>
      <c r="K109" s="28"/>
      <c r="L109" s="28"/>
      <c r="M109" s="28"/>
      <c r="N109" s="254"/>
      <c r="AC109" s="1"/>
      <c r="BB109" s="191" t="s">
        <v>565</v>
      </c>
      <c r="BC109" s="192" t="s">
        <v>578</v>
      </c>
      <c r="BF109" s="2" t="str">
        <f>CONCATENATE(BG110,BG111,BG112)</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10" spans="1:69" ht="19.95" customHeight="1">
      <c r="A110" s="253"/>
      <c r="B110" s="28"/>
      <c r="C110" s="28"/>
      <c r="D110" s="28"/>
      <c r="E110" s="28"/>
      <c r="F110" s="28"/>
      <c r="G110" s="28"/>
      <c r="H110" s="322"/>
      <c r="I110" s="28"/>
      <c r="J110" s="28"/>
      <c r="K110" s="28"/>
      <c r="L110" s="28"/>
      <c r="M110" s="28"/>
      <c r="N110" s="254"/>
      <c r="AC110" s="1"/>
      <c r="BB110" s="191" t="s">
        <v>200</v>
      </c>
      <c r="BC110" s="192" t="s">
        <v>579</v>
      </c>
      <c r="BG110" s="2" t="s">
        <v>746</v>
      </c>
    </row>
    <row r="111" spans="1:69" ht="19.95" customHeight="1">
      <c r="A111" s="253"/>
      <c r="B111" s="28"/>
      <c r="C111" s="28"/>
      <c r="D111" s="28"/>
      <c r="E111" s="28"/>
      <c r="F111" s="28"/>
      <c r="G111" s="28"/>
      <c r="H111" s="322"/>
      <c r="I111" s="28"/>
      <c r="J111" s="28"/>
      <c r="K111" s="28"/>
      <c r="L111" s="28"/>
      <c r="M111" s="28"/>
      <c r="N111" s="254"/>
      <c r="AC111" s="1"/>
      <c r="BB111" s="191" t="s">
        <v>566</v>
      </c>
      <c r="BC111" s="192" t="s">
        <v>580</v>
      </c>
      <c r="BG111" s="2" t="s">
        <v>748</v>
      </c>
    </row>
    <row r="112" spans="1:69" ht="19.95" customHeight="1">
      <c r="A112" s="253"/>
      <c r="B112" s="28"/>
      <c r="C112" s="28"/>
      <c r="D112" s="28"/>
      <c r="E112" s="28"/>
      <c r="F112" s="28"/>
      <c r="G112" s="28"/>
      <c r="H112" s="322"/>
      <c r="I112" s="28"/>
      <c r="J112" s="28"/>
      <c r="K112" s="28"/>
      <c r="L112" s="28"/>
      <c r="M112" s="28"/>
      <c r="N112" s="254"/>
      <c r="AC112" s="1"/>
      <c r="BB112" s="191" t="s">
        <v>567</v>
      </c>
      <c r="BC112" s="192" t="s">
        <v>179</v>
      </c>
      <c r="BG112" s="2" t="s">
        <v>751</v>
      </c>
    </row>
    <row r="113" spans="1:60" ht="19.95" customHeight="1">
      <c r="A113" s="253"/>
      <c r="B113" s="28"/>
      <c r="C113" s="28"/>
      <c r="D113" s="28"/>
      <c r="E113" s="28"/>
      <c r="F113" s="28"/>
      <c r="G113" s="28"/>
      <c r="H113" s="322"/>
      <c r="I113" s="28"/>
      <c r="J113" s="28"/>
      <c r="K113" s="28"/>
      <c r="L113" s="28"/>
      <c r="M113" s="28"/>
      <c r="N113" s="254"/>
      <c r="AC113" s="1"/>
      <c r="BB113" s="191" t="s">
        <v>568</v>
      </c>
      <c r="BC113" s="192" t="s">
        <v>581</v>
      </c>
      <c r="BF113" s="2" t="str">
        <f>CONCATENATE(BG114,BG115,BG116)</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14" spans="1:60" ht="19.95" customHeight="1">
      <c r="A114" s="253"/>
      <c r="B114" s="28"/>
      <c r="C114" s="28"/>
      <c r="D114" s="28"/>
      <c r="E114" s="28"/>
      <c r="F114" s="28"/>
      <c r="G114" s="28"/>
      <c r="H114" s="322"/>
      <c r="I114" s="28"/>
      <c r="J114" s="28"/>
      <c r="K114" s="28"/>
      <c r="L114" s="28"/>
      <c r="M114" s="28"/>
      <c r="N114" s="254"/>
      <c r="AC114" s="1"/>
      <c r="BB114" s="191" t="s">
        <v>198</v>
      </c>
      <c r="BC114" s="192" t="s">
        <v>582</v>
      </c>
      <c r="BG114" s="2" t="s">
        <v>747</v>
      </c>
    </row>
    <row r="115" spans="1:60" ht="19.95" customHeight="1">
      <c r="A115" s="253"/>
      <c r="B115" s="28"/>
      <c r="C115" s="28"/>
      <c r="D115" s="28"/>
      <c r="E115" s="28"/>
      <c r="F115" s="28"/>
      <c r="G115" s="28"/>
      <c r="H115" s="322"/>
      <c r="I115" s="28"/>
      <c r="J115" s="28"/>
      <c r="K115" s="28"/>
      <c r="L115" s="28"/>
      <c r="M115" s="28"/>
      <c r="N115" s="254"/>
      <c r="AC115" s="1"/>
      <c r="BB115" s="191" t="s">
        <v>569</v>
      </c>
      <c r="BC115" s="192" t="s">
        <v>583</v>
      </c>
      <c r="BG115" s="2" t="s">
        <v>749</v>
      </c>
    </row>
    <row r="116" spans="1:60" ht="19.95" customHeight="1">
      <c r="A116" s="253"/>
      <c r="B116" s="28"/>
      <c r="C116" s="28"/>
      <c r="D116" s="28"/>
      <c r="E116" s="28"/>
      <c r="F116" s="28"/>
      <c r="G116" s="28"/>
      <c r="H116" s="322"/>
      <c r="I116" s="28"/>
      <c r="J116" s="28"/>
      <c r="K116" s="28"/>
      <c r="L116" s="28"/>
      <c r="M116" s="28"/>
      <c r="N116" s="254"/>
      <c r="AC116" s="1"/>
      <c r="BB116" s="191" t="s">
        <v>570</v>
      </c>
      <c r="BC116" s="192" t="s">
        <v>197</v>
      </c>
      <c r="BG116" s="2" t="s">
        <v>750</v>
      </c>
    </row>
    <row r="117" spans="1:60" ht="19.95" customHeight="1">
      <c r="A117" s="253"/>
      <c r="B117" s="28"/>
      <c r="C117" s="28"/>
      <c r="D117" s="28"/>
      <c r="E117" s="28"/>
      <c r="F117" s="28"/>
      <c r="G117" s="28"/>
      <c r="H117" s="322"/>
      <c r="I117" s="28"/>
      <c r="J117" s="28"/>
      <c r="K117" s="28"/>
      <c r="L117" s="28"/>
      <c r="M117" s="28"/>
      <c r="N117" s="254"/>
      <c r="AC117" s="1"/>
    </row>
    <row r="118" spans="1:60" ht="19.95" customHeight="1">
      <c r="A118" s="253"/>
      <c r="B118" s="28"/>
      <c r="C118" s="28"/>
      <c r="D118" s="28"/>
      <c r="E118" s="28"/>
      <c r="F118" s="28"/>
      <c r="G118" s="28"/>
      <c r="H118" s="322"/>
      <c r="I118" s="28"/>
      <c r="J118" s="28"/>
      <c r="K118" s="28"/>
      <c r="L118" s="28"/>
      <c r="M118" s="28"/>
      <c r="N118" s="254"/>
      <c r="AC118" s="1"/>
    </row>
    <row r="119" spans="1:60">
      <c r="A119" s="253"/>
      <c r="B119" s="28"/>
      <c r="C119" s="28"/>
      <c r="D119" s="28"/>
      <c r="E119" s="28"/>
      <c r="F119" s="28"/>
      <c r="G119" s="28"/>
      <c r="H119" s="322"/>
      <c r="I119" s="28"/>
      <c r="J119" s="28"/>
      <c r="K119" s="28"/>
      <c r="L119" s="28"/>
      <c r="M119" s="28"/>
      <c r="N119" s="254"/>
      <c r="AC119" s="1"/>
    </row>
    <row r="120" spans="1:60">
      <c r="A120" s="255"/>
      <c r="B120" s="256"/>
      <c r="C120" s="256"/>
      <c r="D120" s="256"/>
      <c r="E120" s="256"/>
      <c r="F120" s="256"/>
      <c r="G120" s="256"/>
      <c r="H120" s="323"/>
      <c r="I120" s="256"/>
      <c r="J120" s="256"/>
      <c r="K120" s="256"/>
      <c r="L120" s="256"/>
      <c r="M120" s="256"/>
      <c r="N120" s="257"/>
      <c r="AC120" s="1"/>
    </row>
    <row r="121" spans="1:60" ht="30" customHeight="1">
      <c r="A121" s="250" t="s">
        <v>1148</v>
      </c>
      <c r="B121" s="944" t="s">
        <v>65</v>
      </c>
      <c r="C121" s="944"/>
      <c r="D121" s="944"/>
      <c r="E121" s="944"/>
      <c r="F121" s="944"/>
      <c r="G121" s="944"/>
      <c r="H121" s="944"/>
      <c r="I121" s="944"/>
      <c r="J121" s="944"/>
      <c r="K121" s="944"/>
      <c r="L121" s="944"/>
      <c r="M121" s="251"/>
      <c r="N121" s="252" t="s">
        <v>1149</v>
      </c>
      <c r="AC121" s="1"/>
    </row>
    <row r="122" spans="1:60">
      <c r="A122" s="253"/>
      <c r="B122" s="28"/>
      <c r="C122" s="28"/>
      <c r="D122" s="28"/>
      <c r="E122" s="28"/>
      <c r="F122" s="28"/>
      <c r="G122" s="28"/>
      <c r="H122" s="322"/>
      <c r="I122" s="28"/>
      <c r="J122" s="28"/>
      <c r="K122" s="28"/>
      <c r="L122" s="28"/>
      <c r="M122" s="28"/>
      <c r="N122" s="254"/>
      <c r="AC122" s="1"/>
    </row>
    <row r="123" spans="1:60">
      <c r="A123" s="253"/>
      <c r="B123" s="998" t="str">
        <f>BB123</f>
        <v xml:space="preserve">To illustrate this point, consider your need for water. We all need water, but get it in different ways. Likewise, we all need protection from threats, but some of us depend more on government security services than others. And for different things. </v>
      </c>
      <c r="C123" s="998"/>
      <c r="D123" s="998"/>
      <c r="E123" s="998"/>
      <c r="F123" s="998"/>
      <c r="G123" s="998"/>
      <c r="H123" s="998"/>
      <c r="I123" s="998"/>
      <c r="J123" s="998"/>
      <c r="K123" s="998"/>
      <c r="L123" s="998"/>
      <c r="M123" s="998"/>
      <c r="N123" s="254"/>
      <c r="AC123" s="1"/>
      <c r="BB123" s="2" t="str">
        <f>CONCATENATE(BD123,BE123,BF123,BG123,BH123)</f>
        <v xml:space="preserve">To illustrate this point, consider your need for water. We all need water, but get it in different ways. Likewise, we all need protection from threats, but some of us depend more on government security services than others. And for different things. </v>
      </c>
      <c r="BD123" s="2" t="s">
        <v>1166</v>
      </c>
      <c r="BE123" s="2" t="str">
        <f>BN145</f>
        <v>water</v>
      </c>
      <c r="BF123" s="2" t="s">
        <v>1167</v>
      </c>
      <c r="BG123" s="2" t="str">
        <f>BE123</f>
        <v>water</v>
      </c>
      <c r="BH123" s="2" t="s">
        <v>1216</v>
      </c>
    </row>
    <row r="124" spans="1:60" ht="19.95" customHeight="1">
      <c r="A124" s="253"/>
      <c r="B124" s="998"/>
      <c r="C124" s="998"/>
      <c r="D124" s="998"/>
      <c r="E124" s="998"/>
      <c r="F124" s="998"/>
      <c r="G124" s="998"/>
      <c r="H124" s="998"/>
      <c r="I124" s="998"/>
      <c r="J124" s="998"/>
      <c r="K124" s="998"/>
      <c r="L124" s="998"/>
      <c r="M124" s="998"/>
      <c r="N124" s="254"/>
      <c r="AC124" s="1"/>
    </row>
    <row r="125" spans="1:60" ht="19.95" customHeight="1">
      <c r="A125" s="253"/>
      <c r="B125" s="998"/>
      <c r="C125" s="998"/>
      <c r="D125" s="998"/>
      <c r="E125" s="998"/>
      <c r="F125" s="998"/>
      <c r="G125" s="998"/>
      <c r="H125" s="998"/>
      <c r="I125" s="998"/>
      <c r="J125" s="998"/>
      <c r="K125" s="998"/>
      <c r="L125" s="998"/>
      <c r="M125" s="998"/>
      <c r="N125" s="254"/>
      <c r="AC125" s="1"/>
    </row>
    <row r="126" spans="1:60" ht="19.95" customHeight="1">
      <c r="A126" s="253"/>
      <c r="B126" s="998" t="str">
        <f>BB126</f>
        <v>Click on WATER in the white field below to change this illustration. See how we all share the same core-needs. But diverge in how we ease such needs.</v>
      </c>
      <c r="C126" s="998"/>
      <c r="D126" s="998"/>
      <c r="E126" s="998"/>
      <c r="F126" s="998"/>
      <c r="G126" s="998"/>
      <c r="H126" s="998"/>
      <c r="I126" s="998"/>
      <c r="J126" s="998"/>
      <c r="K126" s="998"/>
      <c r="L126" s="998"/>
      <c r="M126" s="998"/>
      <c r="N126" s="254"/>
      <c r="AC126" s="1"/>
      <c r="BB126" s="2" t="str">
        <f>CONCATENATE(BD126,BE126,BF126,BG126)</f>
        <v>Click on WATER in the white field below to change this illustration. See how we all share the same core-needs. But diverge in how we ease such needs.</v>
      </c>
      <c r="BD126" s="2" t="s">
        <v>1168</v>
      </c>
      <c r="BE126" s="2" t="str">
        <f>IF(E129="","the blank",E129)</f>
        <v>WATER</v>
      </c>
      <c r="BF126" s="2" t="str">
        <f>IF(NOT(E129="")," in the","")</f>
        <v xml:space="preserve"> in the</v>
      </c>
      <c r="BG126" s="2" t="s">
        <v>1169</v>
      </c>
    </row>
    <row r="127" spans="1:60" ht="19.95" customHeight="1">
      <c r="A127" s="253"/>
      <c r="B127" s="998"/>
      <c r="C127" s="998"/>
      <c r="D127" s="998"/>
      <c r="E127" s="998"/>
      <c r="F127" s="998"/>
      <c r="G127" s="998"/>
      <c r="H127" s="998"/>
      <c r="I127" s="998"/>
      <c r="J127" s="998"/>
      <c r="K127" s="998"/>
      <c r="L127" s="998"/>
      <c r="M127" s="998"/>
      <c r="N127" s="254"/>
      <c r="AC127" s="1"/>
    </row>
    <row r="128" spans="1:60" ht="19.95" customHeight="1" thickBot="1">
      <c r="A128" s="253"/>
      <c r="B128" s="998"/>
      <c r="C128" s="998"/>
      <c r="D128" s="998"/>
      <c r="E128" s="998"/>
      <c r="F128" s="998"/>
      <c r="G128" s="998"/>
      <c r="H128" s="998"/>
      <c r="I128" s="998"/>
      <c r="J128" s="998"/>
      <c r="K128" s="998"/>
      <c r="L128" s="998"/>
      <c r="M128" s="998"/>
      <c r="N128" s="254"/>
      <c r="AC128" s="1"/>
    </row>
    <row r="129" spans="1:29" ht="19.95" customHeight="1">
      <c r="A129" s="253"/>
      <c r="B129" s="1220" t="s">
        <v>502</v>
      </c>
      <c r="C129" s="1201"/>
      <c r="D129" s="1201"/>
      <c r="E129" s="1195" t="s">
        <v>388</v>
      </c>
      <c r="F129" s="1196"/>
      <c r="G129" s="1196"/>
      <c r="H129" s="1197"/>
      <c r="I129" s="1201" t="s">
        <v>503</v>
      </c>
      <c r="J129" s="1201"/>
      <c r="K129" s="1201"/>
      <c r="L129" s="1201"/>
      <c r="M129" s="1202"/>
      <c r="N129" s="254"/>
      <c r="AC129" s="1"/>
    </row>
    <row r="130" spans="1:29" ht="19.95" customHeight="1" thickBot="1">
      <c r="A130" s="253"/>
      <c r="B130" s="1221"/>
      <c r="C130" s="1203"/>
      <c r="D130" s="1203"/>
      <c r="E130" s="1198"/>
      <c r="F130" s="1199"/>
      <c r="G130" s="1199"/>
      <c r="H130" s="1200"/>
      <c r="I130" s="1203"/>
      <c r="J130" s="1203"/>
      <c r="K130" s="1203"/>
      <c r="L130" s="1203"/>
      <c r="M130" s="1204"/>
      <c r="N130" s="254"/>
      <c r="AC130" s="1"/>
    </row>
    <row r="131" spans="1:29" ht="19.95" customHeight="1" thickBot="1">
      <c r="A131" s="253"/>
      <c r="B131" s="28"/>
      <c r="C131" s="28"/>
      <c r="D131" s="28"/>
      <c r="E131" s="28"/>
      <c r="F131" s="28"/>
      <c r="G131" s="28"/>
      <c r="H131" s="322"/>
      <c r="I131" s="28"/>
      <c r="J131" s="28"/>
      <c r="K131" s="28"/>
      <c r="L131" s="28"/>
      <c r="M131" s="28"/>
      <c r="N131" s="254"/>
      <c r="AC131" s="1"/>
    </row>
    <row r="132" spans="1:29" ht="19.95" customHeight="1" thickTop="1">
      <c r="A132" s="253"/>
      <c r="B132" s="128" t="s">
        <v>54</v>
      </c>
      <c r="C132" s="96"/>
      <c r="D132" s="96"/>
      <c r="E132" s="94" t="s">
        <v>58</v>
      </c>
      <c r="F132" s="26"/>
      <c r="G132" s="26"/>
      <c r="H132" s="1189" t="str">
        <f>BB150</f>
        <v>"I'm thirsty."</v>
      </c>
      <c r="I132" s="1189"/>
      <c r="J132" s="1189"/>
      <c r="K132" s="1192" t="str">
        <f>BB151</f>
        <v>"I'm thirsty."</v>
      </c>
      <c r="L132" s="1192"/>
      <c r="M132" s="1192"/>
      <c r="N132" s="254"/>
      <c r="AC132" s="1"/>
    </row>
    <row r="133" spans="1:29" ht="19.95" customHeight="1">
      <c r="A133" s="253"/>
      <c r="B133" s="1205" t="str">
        <f>BB146</f>
        <v>We all feel the same need for bodily fluid balance.</v>
      </c>
      <c r="C133" s="1205"/>
      <c r="D133" s="1205"/>
      <c r="E133" s="1205"/>
      <c r="F133" s="1205"/>
      <c r="G133" s="100"/>
      <c r="H133" s="1190"/>
      <c r="I133" s="1190"/>
      <c r="J133" s="1190"/>
      <c r="K133" s="1193"/>
      <c r="L133" s="1193"/>
      <c r="M133" s="1193"/>
      <c r="N133" s="254"/>
      <c r="AC133" s="1"/>
    </row>
    <row r="134" spans="1:29" ht="19.95" customHeight="1" thickBot="1">
      <c r="A134" s="253"/>
      <c r="B134" s="1205"/>
      <c r="C134" s="1205"/>
      <c r="D134" s="1205"/>
      <c r="E134" s="1205"/>
      <c r="F134" s="1205"/>
      <c r="G134" s="100"/>
      <c r="H134" s="1191"/>
      <c r="I134" s="1191"/>
      <c r="J134" s="1191"/>
      <c r="K134" s="1194"/>
      <c r="L134" s="1194"/>
      <c r="M134" s="1194"/>
      <c r="N134" s="254"/>
      <c r="AC134" s="1"/>
    </row>
    <row r="135" spans="1:29" ht="19.95" customHeight="1" thickTop="1" thickBot="1">
      <c r="A135" s="253"/>
      <c r="B135" s="26"/>
      <c r="C135" s="26"/>
      <c r="D135" s="26"/>
      <c r="E135" s="26"/>
      <c r="F135" s="26"/>
      <c r="G135" s="26"/>
      <c r="H135" s="324"/>
      <c r="I135" s="26"/>
      <c r="J135" s="26"/>
      <c r="K135" s="26"/>
      <c r="L135" s="26"/>
      <c r="M135" s="26"/>
      <c r="N135" s="254"/>
      <c r="AC135" s="1"/>
    </row>
    <row r="136" spans="1:29" ht="19.95" customHeight="1" thickTop="1">
      <c r="A136" s="253"/>
      <c r="B136" s="128" t="s">
        <v>55</v>
      </c>
      <c r="C136" s="95"/>
      <c r="D136" s="95"/>
      <c r="E136" s="97" t="s">
        <v>59</v>
      </c>
      <c r="F136" s="27"/>
      <c r="G136" s="27"/>
      <c r="H136" s="1189" t="str">
        <f>BB152</f>
        <v>“I need a drink of water, or iced latte.”</v>
      </c>
      <c r="I136" s="1189"/>
      <c r="J136" s="1189"/>
      <c r="K136" s="1192" t="str">
        <f>BB153</f>
        <v>“I need a drink of water, or cold beer.”</v>
      </c>
      <c r="L136" s="1192"/>
      <c r="M136" s="1192"/>
      <c r="N136" s="254"/>
      <c r="AC136" s="1"/>
    </row>
    <row r="137" spans="1:29" ht="19.95" customHeight="1">
      <c r="A137" s="253"/>
      <c r="B137" s="1222" t="str">
        <f>BB147</f>
        <v>We all rely on something with water to restore fluid balance.</v>
      </c>
      <c r="C137" s="1222"/>
      <c r="D137" s="1222"/>
      <c r="E137" s="1222"/>
      <c r="F137" s="1222"/>
      <c r="G137" s="30"/>
      <c r="H137" s="1190"/>
      <c r="I137" s="1190"/>
      <c r="J137" s="1190"/>
      <c r="K137" s="1193"/>
      <c r="L137" s="1193"/>
      <c r="M137" s="1193"/>
      <c r="N137" s="254"/>
      <c r="AC137" s="1"/>
    </row>
    <row r="138" spans="1:29" ht="19.95" customHeight="1" thickBot="1">
      <c r="A138" s="253"/>
      <c r="B138" s="1222"/>
      <c r="C138" s="1222"/>
      <c r="D138" s="1222"/>
      <c r="E138" s="1222"/>
      <c r="F138" s="1222"/>
      <c r="G138" s="27"/>
      <c r="H138" s="1191"/>
      <c r="I138" s="1191"/>
      <c r="J138" s="1191"/>
      <c r="K138" s="1194"/>
      <c r="L138" s="1194"/>
      <c r="M138" s="1194"/>
      <c r="N138" s="254"/>
      <c r="AC138" s="1"/>
    </row>
    <row r="139" spans="1:29" ht="19.95" customHeight="1" thickTop="1" thickBot="1">
      <c r="A139" s="253"/>
      <c r="B139" s="27"/>
      <c r="C139" s="27"/>
      <c r="D139" s="27"/>
      <c r="E139" s="27"/>
      <c r="F139" s="27"/>
      <c r="G139" s="27"/>
      <c r="H139" s="325"/>
      <c r="I139" s="27"/>
      <c r="J139" s="27"/>
      <c r="K139" s="27"/>
      <c r="L139" s="27"/>
      <c r="M139" s="27"/>
      <c r="N139" s="254"/>
      <c r="AC139" s="1"/>
    </row>
    <row r="140" spans="1:29" ht="19.95" customHeight="1" thickTop="1">
      <c r="A140" s="253"/>
      <c r="B140" s="128" t="s">
        <v>56</v>
      </c>
      <c r="C140" s="95"/>
      <c r="D140" s="95"/>
      <c r="E140" s="98" t="s">
        <v>60</v>
      </c>
      <c r="F140" s="31"/>
      <c r="G140" s="31"/>
      <c r="H140" s="1189" t="str">
        <f>BB154</f>
        <v>“Government serves the demand.”</v>
      </c>
      <c r="I140" s="1189"/>
      <c r="J140" s="1189"/>
      <c r="K140" s="1192" t="str">
        <f>BB155</f>
        <v>“The market ensures efficient supply.”</v>
      </c>
      <c r="L140" s="1192"/>
      <c r="M140" s="1192"/>
      <c r="N140" s="254"/>
      <c r="AC140" s="1"/>
    </row>
    <row r="141" spans="1:29" ht="19.95" customHeight="1">
      <c r="A141" s="253"/>
      <c r="B141" s="1223" t="str">
        <f>BB148</f>
        <v>You get your water from a bottle, while I from a tap.</v>
      </c>
      <c r="C141" s="1223"/>
      <c r="D141" s="1223"/>
      <c r="E141" s="1223"/>
      <c r="F141" s="1223"/>
      <c r="G141" s="31"/>
      <c r="H141" s="1190"/>
      <c r="I141" s="1190"/>
      <c r="J141" s="1190"/>
      <c r="K141" s="1193"/>
      <c r="L141" s="1193"/>
      <c r="M141" s="1193"/>
      <c r="N141" s="254"/>
      <c r="AC141" s="1"/>
    </row>
    <row r="142" spans="1:29" ht="19.95" customHeight="1" thickBot="1">
      <c r="A142" s="253"/>
      <c r="B142" s="1223"/>
      <c r="C142" s="1223"/>
      <c r="D142" s="1223"/>
      <c r="E142" s="1223"/>
      <c r="F142" s="1223"/>
      <c r="G142" s="31"/>
      <c r="H142" s="1191"/>
      <c r="I142" s="1191"/>
      <c r="J142" s="1191"/>
      <c r="K142" s="1194"/>
      <c r="L142" s="1194"/>
      <c r="M142" s="1194"/>
      <c r="N142" s="254"/>
      <c r="AC142" s="1"/>
    </row>
    <row r="143" spans="1:29" ht="19.95" customHeight="1" thickTop="1" thickBot="1">
      <c r="A143" s="253"/>
      <c r="B143" s="281"/>
      <c r="C143" s="281"/>
      <c r="D143" s="281"/>
      <c r="E143" s="281"/>
      <c r="F143" s="281"/>
      <c r="G143" s="281"/>
      <c r="H143" s="326"/>
      <c r="I143" s="281"/>
      <c r="J143" s="281"/>
      <c r="K143" s="281"/>
      <c r="L143" s="281"/>
      <c r="M143" s="281"/>
      <c r="N143" s="254"/>
      <c r="AC143" s="1"/>
    </row>
    <row r="144" spans="1:29" ht="19.95" customHeight="1" thickTop="1">
      <c r="A144" s="253"/>
      <c r="B144" s="128" t="s">
        <v>57</v>
      </c>
      <c r="C144" s="95"/>
      <c r="D144" s="95"/>
      <c r="E144" s="99" t="s">
        <v>538</v>
      </c>
      <c r="F144" s="29"/>
      <c r="G144" s="29"/>
      <c r="H144" s="1189" t="str">
        <f>BB156</f>
        <v>“I rely on regulated city water.”</v>
      </c>
      <c r="I144" s="1189"/>
      <c r="J144" s="1189"/>
      <c r="K144" s="1192" t="str">
        <f>BB157</f>
        <v>“I can dig my own well.”</v>
      </c>
      <c r="L144" s="1192"/>
      <c r="M144" s="1192"/>
      <c r="N144" s="254"/>
      <c r="AC144" s="1"/>
    </row>
    <row r="145" spans="1:66" ht="19.95" customHeight="1">
      <c r="A145" s="253"/>
      <c r="B145" s="1219" t="str">
        <f>BB149</f>
        <v>I can buy it myself but must rely on many others in the market.</v>
      </c>
      <c r="C145" s="1219"/>
      <c r="D145" s="1219"/>
      <c r="E145" s="1219"/>
      <c r="F145" s="1219"/>
      <c r="G145" s="29"/>
      <c r="H145" s="1190"/>
      <c r="I145" s="1190"/>
      <c r="J145" s="1190"/>
      <c r="K145" s="1193"/>
      <c r="L145" s="1193"/>
      <c r="M145" s="1193"/>
      <c r="N145" s="254"/>
      <c r="AC145" s="1"/>
      <c r="BE145" s="126" t="str">
        <f>BM146</f>
        <v>WATER</v>
      </c>
      <c r="BF145" s="126" t="str">
        <f>BM147</f>
        <v>FOOD</v>
      </c>
      <c r="BG145" s="126" t="str">
        <f>BM148</f>
        <v>HOUSING</v>
      </c>
      <c r="BH145" s="126" t="str">
        <f>BM149</f>
        <v>HEALTH</v>
      </c>
      <c r="BI145" s="126" t="str">
        <f>BM150</f>
        <v>INCOME</v>
      </c>
      <c r="BJ145" s="126" t="str">
        <f>BM151</f>
        <v>SAFETY</v>
      </c>
      <c r="BK145" s="126" t="str">
        <f>BM152</f>
        <v>FUN</v>
      </c>
      <c r="BL145" s="126" t="str">
        <f>BM153</f>
        <v>TRAVEL</v>
      </c>
      <c r="BN145" s="126" t="str">
        <f>IF(E129=BM146,BN146,IF(E129=BM147,BN147,IF(E129=BM148,BN148,IF(E129=BM149,BN149,IF(E129=BM150,BN150,IF(E129=BM151,BN151,IF(E129=BM152,BN152,IF(E129=BM153,BN153,BN146))))))))</f>
        <v>water</v>
      </c>
    </row>
    <row r="146" spans="1:66" ht="19.95" customHeight="1" thickBot="1">
      <c r="A146" s="253"/>
      <c r="B146" s="1219"/>
      <c r="C146" s="1219"/>
      <c r="D146" s="1219"/>
      <c r="E146" s="1219"/>
      <c r="F146" s="1219"/>
      <c r="G146" s="29"/>
      <c r="H146" s="1191"/>
      <c r="I146" s="1191"/>
      <c r="J146" s="1191"/>
      <c r="K146" s="1194"/>
      <c r="L146" s="1194"/>
      <c r="M146" s="1194"/>
      <c r="N146" s="254"/>
      <c r="AC146" s="1"/>
      <c r="BB146" s="2" t="str">
        <f t="shared" ref="BB146:BB157" si="0">IF($E$129=BM$146,BE146,IF($E$129=BM$147,BF146,IF($E$129=BM$148,BG146,IF($E$129=BM$149,BH146,IF($E$129=BM$150,BI146,IF($E$129=BM$151,BJ146,IF($E$129=BM$152,BK146,IF($E$129=BM$153,BL146,""))))))))</f>
        <v>We all feel the same need for bodily fluid balance.</v>
      </c>
      <c r="BD146" s="127" t="s">
        <v>383</v>
      </c>
      <c r="BE146" s="2" t="s">
        <v>517</v>
      </c>
      <c r="BF146" s="2" t="s">
        <v>518</v>
      </c>
      <c r="BG146" s="2" t="s">
        <v>519</v>
      </c>
      <c r="BH146" s="2" t="s">
        <v>745</v>
      </c>
      <c r="BI146" s="2" t="s">
        <v>520</v>
      </c>
      <c r="BJ146" s="2" t="s">
        <v>521</v>
      </c>
      <c r="BK146" s="2" t="s">
        <v>522</v>
      </c>
      <c r="BL146" s="2" t="s">
        <v>523</v>
      </c>
      <c r="BM146" s="125" t="s">
        <v>388</v>
      </c>
      <c r="BN146" s="37" t="s">
        <v>1158</v>
      </c>
    </row>
    <row r="147" spans="1:66" ht="14.4" thickTop="1">
      <c r="A147" s="253"/>
      <c r="B147" s="29"/>
      <c r="C147" s="29"/>
      <c r="D147" s="29"/>
      <c r="E147" s="29"/>
      <c r="F147" s="29"/>
      <c r="G147" s="29"/>
      <c r="H147" s="318"/>
      <c r="I147" s="29"/>
      <c r="J147" s="29"/>
      <c r="K147" s="29"/>
      <c r="L147" s="29"/>
      <c r="M147" s="29"/>
      <c r="N147" s="254"/>
      <c r="AC147" s="1"/>
      <c r="BB147" s="2" t="str">
        <f t="shared" si="0"/>
        <v>We all rely on something with water to restore fluid balance.</v>
      </c>
      <c r="BD147" s="127" t="s">
        <v>384</v>
      </c>
      <c r="BE147" s="2" t="s">
        <v>414</v>
      </c>
      <c r="BF147" s="2" t="s">
        <v>536</v>
      </c>
      <c r="BG147" s="2" t="s">
        <v>526</v>
      </c>
      <c r="BH147" s="2" t="s">
        <v>528</v>
      </c>
      <c r="BI147" s="2" t="s">
        <v>541</v>
      </c>
      <c r="BJ147" s="2" t="s">
        <v>530</v>
      </c>
      <c r="BK147" s="2" t="s">
        <v>532</v>
      </c>
      <c r="BL147" s="2" t="s">
        <v>534</v>
      </c>
      <c r="BM147" s="125" t="s">
        <v>364</v>
      </c>
      <c r="BN147" s="37" t="s">
        <v>1159</v>
      </c>
    </row>
    <row r="148" spans="1:66">
      <c r="A148" s="253"/>
      <c r="B148" s="28"/>
      <c r="C148" s="28"/>
      <c r="D148" s="28"/>
      <c r="E148" s="28"/>
      <c r="F148" s="28"/>
      <c r="G148" s="28"/>
      <c r="H148" s="322"/>
      <c r="I148" s="28"/>
      <c r="J148" s="28"/>
      <c r="K148" s="28"/>
      <c r="L148" s="28"/>
      <c r="M148" s="28"/>
      <c r="N148" s="254"/>
      <c r="AC148" s="1"/>
      <c r="BB148" s="2" t="str">
        <f t="shared" si="0"/>
        <v>You get your water from a bottle, while I from a tap.</v>
      </c>
      <c r="BD148" s="127" t="s">
        <v>385</v>
      </c>
      <c r="BE148" s="2" t="s">
        <v>501</v>
      </c>
      <c r="BF148" s="2" t="s">
        <v>524</v>
      </c>
      <c r="BG148" s="2" t="s">
        <v>527</v>
      </c>
      <c r="BH148" s="2" t="s">
        <v>540</v>
      </c>
      <c r="BI148" s="2" t="s">
        <v>529</v>
      </c>
      <c r="BJ148" s="2" t="s">
        <v>531</v>
      </c>
      <c r="BK148" s="2" t="s">
        <v>533</v>
      </c>
      <c r="BL148" s="2" t="s">
        <v>535</v>
      </c>
      <c r="BM148" s="125" t="s">
        <v>413</v>
      </c>
      <c r="BN148" s="37" t="s">
        <v>1160</v>
      </c>
    </row>
    <row r="149" spans="1:66">
      <c r="A149" s="253"/>
      <c r="B149" s="28"/>
      <c r="C149" s="28"/>
      <c r="D149" s="28"/>
      <c r="E149" s="28"/>
      <c r="F149" s="28"/>
      <c r="G149" s="28"/>
      <c r="H149" s="322"/>
      <c r="I149" s="28"/>
      <c r="J149" s="28"/>
      <c r="K149" s="28"/>
      <c r="L149" s="28"/>
      <c r="M149" s="28"/>
      <c r="N149" s="254"/>
      <c r="AC149" s="1"/>
      <c r="BB149" s="2" t="str">
        <f t="shared" si="0"/>
        <v>I can buy it myself but must rely on many others in the market.</v>
      </c>
      <c r="BD149" s="127" t="s">
        <v>386</v>
      </c>
      <c r="BE149" s="2" t="s">
        <v>500</v>
      </c>
      <c r="BF149" s="2" t="s">
        <v>525</v>
      </c>
      <c r="BG149" s="2" t="s">
        <v>548</v>
      </c>
      <c r="BH149" s="2" t="s">
        <v>547</v>
      </c>
      <c r="BI149" s="2" t="s">
        <v>1217</v>
      </c>
      <c r="BJ149" s="2" t="s">
        <v>545</v>
      </c>
      <c r="BK149" s="2" t="s">
        <v>546</v>
      </c>
      <c r="BL149" s="2" t="s">
        <v>549</v>
      </c>
      <c r="BM149" s="125" t="s">
        <v>368</v>
      </c>
      <c r="BN149" s="37" t="s">
        <v>1161</v>
      </c>
    </row>
    <row r="150" spans="1:66">
      <c r="A150" s="253"/>
      <c r="B150" s="28"/>
      <c r="C150" s="28"/>
      <c r="D150" s="28"/>
      <c r="E150" s="28"/>
      <c r="F150" s="28"/>
      <c r="G150" s="28"/>
      <c r="H150" s="322"/>
      <c r="I150" s="28"/>
      <c r="J150" s="28"/>
      <c r="K150" s="28"/>
      <c r="L150" s="28"/>
      <c r="M150" s="28"/>
      <c r="N150" s="254"/>
      <c r="AC150" s="1"/>
      <c r="BB150" s="2" t="str">
        <f t="shared" si="0"/>
        <v>"I'm thirsty."</v>
      </c>
      <c r="BD150" s="127" t="s">
        <v>504</v>
      </c>
      <c r="BE150" s="2" t="s">
        <v>415</v>
      </c>
      <c r="BF150" s="2" t="s">
        <v>512</v>
      </c>
      <c r="BG150" s="2" t="s">
        <v>513</v>
      </c>
      <c r="BH150" s="2" t="s">
        <v>514</v>
      </c>
      <c r="BI150" s="2" t="s">
        <v>515</v>
      </c>
      <c r="BJ150" s="2" t="s">
        <v>516</v>
      </c>
      <c r="BK150" s="2" t="s">
        <v>407</v>
      </c>
      <c r="BL150" s="2" t="s">
        <v>381</v>
      </c>
      <c r="BM150" s="125" t="s">
        <v>371</v>
      </c>
      <c r="BN150" s="37" t="s">
        <v>1162</v>
      </c>
    </row>
    <row r="151" spans="1:66">
      <c r="A151" s="253"/>
      <c r="B151" s="28"/>
      <c r="C151" s="28"/>
      <c r="D151" s="28"/>
      <c r="E151" s="28"/>
      <c r="F151" s="28"/>
      <c r="G151" s="28"/>
      <c r="H151" s="322"/>
      <c r="I151" s="28"/>
      <c r="J151" s="28"/>
      <c r="K151" s="28"/>
      <c r="L151" s="28"/>
      <c r="M151" s="28"/>
      <c r="N151" s="254"/>
      <c r="AC151" s="1"/>
      <c r="BB151" s="2" t="str">
        <f t="shared" si="0"/>
        <v>"I'm thirsty."</v>
      </c>
      <c r="BD151" s="127" t="s">
        <v>505</v>
      </c>
      <c r="BE151" s="2" t="str">
        <f>BE150</f>
        <v>"I'm thirsty."</v>
      </c>
      <c r="BF151" s="2" t="str">
        <f t="shared" ref="BF151:BL151" si="1">BF150</f>
        <v>"I'm hungry."</v>
      </c>
      <c r="BG151" s="2" t="str">
        <f t="shared" si="1"/>
        <v>"I'm cold."</v>
      </c>
      <c r="BH151" s="2" t="str">
        <f t="shared" si="1"/>
        <v>"I'm ill."</v>
      </c>
      <c r="BI151" s="2" t="str">
        <f t="shared" si="1"/>
        <v>"I'm broke."</v>
      </c>
      <c r="BJ151" s="2" t="str">
        <f t="shared" si="1"/>
        <v>"I'm scared."</v>
      </c>
      <c r="BK151" s="2" t="str">
        <f t="shared" si="1"/>
        <v>"I'm stuck."</v>
      </c>
      <c r="BL151" s="2" t="str">
        <f t="shared" si="1"/>
        <v>"I'm bored."</v>
      </c>
      <c r="BM151" s="125" t="s">
        <v>376</v>
      </c>
      <c r="BN151" s="37" t="s">
        <v>1163</v>
      </c>
    </row>
    <row r="152" spans="1:66">
      <c r="A152" s="253"/>
      <c r="B152" s="28"/>
      <c r="C152" s="28"/>
      <c r="D152" s="28"/>
      <c r="E152" s="28"/>
      <c r="F152" s="28"/>
      <c r="G152" s="28"/>
      <c r="H152" s="322"/>
      <c r="I152" s="28"/>
      <c r="J152" s="28"/>
      <c r="K152" s="28"/>
      <c r="L152" s="28"/>
      <c r="M152" s="28"/>
      <c r="N152" s="254"/>
      <c r="AC152" s="1"/>
      <c r="BB152" s="2" t="str">
        <f t="shared" si="0"/>
        <v>“I need a drink of water, or iced latte.”</v>
      </c>
      <c r="BD152" s="127" t="s">
        <v>506</v>
      </c>
      <c r="BE152" s="2" t="s">
        <v>389</v>
      </c>
      <c r="BF152" s="2" t="s">
        <v>673</v>
      </c>
      <c r="BG152" s="2" t="s">
        <v>537</v>
      </c>
      <c r="BH152" s="2" t="s">
        <v>395</v>
      </c>
      <c r="BI152" s="2" t="s">
        <v>372</v>
      </c>
      <c r="BJ152" s="2" t="s">
        <v>542</v>
      </c>
      <c r="BK152" s="2" t="s">
        <v>382</v>
      </c>
      <c r="BL152" s="2" t="s">
        <v>408</v>
      </c>
      <c r="BM152" s="125" t="s">
        <v>380</v>
      </c>
      <c r="BN152" s="37" t="s">
        <v>1164</v>
      </c>
    </row>
    <row r="153" spans="1:66">
      <c r="A153" s="253"/>
      <c r="B153" s="28"/>
      <c r="C153" s="28"/>
      <c r="D153" s="28"/>
      <c r="E153" s="28"/>
      <c r="F153" s="28"/>
      <c r="G153" s="28"/>
      <c r="H153" s="322"/>
      <c r="I153" s="28"/>
      <c r="J153" s="28"/>
      <c r="K153" s="28"/>
      <c r="L153" s="28"/>
      <c r="M153" s="28"/>
      <c r="N153" s="254"/>
      <c r="AC153" s="1"/>
      <c r="BB153" s="2" t="str">
        <f t="shared" si="0"/>
        <v>“I need a drink of water, or cold beer.”</v>
      </c>
      <c r="BD153" s="127" t="s">
        <v>507</v>
      </c>
      <c r="BE153" s="2" t="s">
        <v>390</v>
      </c>
      <c r="BF153" s="2" t="s">
        <v>674</v>
      </c>
      <c r="BG153" s="2" t="s">
        <v>365</v>
      </c>
      <c r="BH153" s="2" t="s">
        <v>396</v>
      </c>
      <c r="BI153" s="2" t="s">
        <v>373</v>
      </c>
      <c r="BJ153" s="2" t="s">
        <v>377</v>
      </c>
      <c r="BK153" s="2" t="s">
        <v>543</v>
      </c>
      <c r="BL153" s="2" t="s">
        <v>409</v>
      </c>
      <c r="BM153" s="125" t="s">
        <v>387</v>
      </c>
      <c r="BN153" s="37" t="s">
        <v>1165</v>
      </c>
    </row>
    <row r="154" spans="1:66">
      <c r="A154" s="253"/>
      <c r="B154" s="28"/>
      <c r="C154" s="28"/>
      <c r="D154" s="28"/>
      <c r="E154" s="28"/>
      <c r="F154" s="28"/>
      <c r="G154" s="28"/>
      <c r="H154" s="322"/>
      <c r="I154" s="28"/>
      <c r="J154" s="28"/>
      <c r="K154" s="28"/>
      <c r="L154" s="28"/>
      <c r="M154" s="28"/>
      <c r="N154" s="254"/>
      <c r="AC154" s="1"/>
      <c r="BB154" s="2" t="str">
        <f t="shared" si="0"/>
        <v>“Government serves the demand.”</v>
      </c>
      <c r="BD154" s="127" t="s">
        <v>508</v>
      </c>
      <c r="BE154" s="2" t="s">
        <v>550</v>
      </c>
      <c r="BF154" s="2" t="s">
        <v>393</v>
      </c>
      <c r="BG154" s="2" t="s">
        <v>393</v>
      </c>
      <c r="BH154" s="2" t="s">
        <v>369</v>
      </c>
      <c r="BI154" s="2" t="s">
        <v>374</v>
      </c>
      <c r="BJ154" s="2" t="s">
        <v>402</v>
      </c>
      <c r="BK154" s="2" t="s">
        <v>405</v>
      </c>
      <c r="BL154" s="2" t="s">
        <v>410</v>
      </c>
    </row>
    <row r="155" spans="1:66">
      <c r="A155" s="253"/>
      <c r="B155" s="28"/>
      <c r="C155" s="28"/>
      <c r="D155" s="28"/>
      <c r="E155" s="28"/>
      <c r="F155" s="28"/>
      <c r="G155" s="28"/>
      <c r="H155" s="322"/>
      <c r="I155" s="28"/>
      <c r="J155" s="28"/>
      <c r="K155" s="28"/>
      <c r="L155" s="28"/>
      <c r="M155" s="28"/>
      <c r="N155" s="254"/>
      <c r="AC155" s="1"/>
      <c r="BB155" s="2" t="str">
        <f t="shared" si="0"/>
        <v>“The market ensures efficient supply.”</v>
      </c>
      <c r="BD155" s="127" t="s">
        <v>509</v>
      </c>
      <c r="BE155" s="2" t="s">
        <v>551</v>
      </c>
      <c r="BF155" s="2" t="s">
        <v>394</v>
      </c>
      <c r="BG155" s="2" t="s">
        <v>539</v>
      </c>
      <c r="BH155" s="2" t="s">
        <v>370</v>
      </c>
      <c r="BI155" s="2" t="s">
        <v>375</v>
      </c>
      <c r="BJ155" s="2" t="s">
        <v>401</v>
      </c>
      <c r="BK155" s="2" t="s">
        <v>406</v>
      </c>
      <c r="BL155" s="2" t="s">
        <v>411</v>
      </c>
    </row>
    <row r="156" spans="1:66">
      <c r="A156" s="253"/>
      <c r="B156" s="28"/>
      <c r="C156" s="28"/>
      <c r="D156" s="28"/>
      <c r="E156" s="28"/>
      <c r="F156" s="28"/>
      <c r="G156" s="28"/>
      <c r="H156" s="322"/>
      <c r="I156" s="28"/>
      <c r="J156" s="28"/>
      <c r="K156" s="28"/>
      <c r="L156" s="28"/>
      <c r="M156" s="28"/>
      <c r="N156" s="254"/>
      <c r="AC156" s="1"/>
      <c r="BB156" s="2" t="str">
        <f t="shared" si="0"/>
        <v>“I rely on regulated city water.”</v>
      </c>
      <c r="BD156" s="127" t="s">
        <v>510</v>
      </c>
      <c r="BE156" s="2" t="s">
        <v>392</v>
      </c>
      <c r="BF156" s="2" t="s">
        <v>366</v>
      </c>
      <c r="BG156" s="2" t="s">
        <v>366</v>
      </c>
      <c r="BH156" s="2" t="s">
        <v>397</v>
      </c>
      <c r="BI156" s="2" t="s">
        <v>400</v>
      </c>
      <c r="BJ156" s="2" t="s">
        <v>378</v>
      </c>
      <c r="BK156" s="2" t="s">
        <v>404</v>
      </c>
      <c r="BL156" s="2" t="s">
        <v>412</v>
      </c>
    </row>
    <row r="157" spans="1:66">
      <c r="A157" s="255"/>
      <c r="B157" s="256"/>
      <c r="C157" s="256"/>
      <c r="D157" s="256"/>
      <c r="E157" s="256"/>
      <c r="F157" s="256"/>
      <c r="G157" s="256"/>
      <c r="H157" s="323"/>
      <c r="I157" s="256"/>
      <c r="J157" s="256"/>
      <c r="K157" s="256"/>
      <c r="L157" s="256"/>
      <c r="M157" s="256"/>
      <c r="N157" s="257"/>
      <c r="AC157" s="1"/>
      <c r="BB157" s="2" t="str">
        <f t="shared" si="0"/>
        <v>“I can dig my own well.”</v>
      </c>
      <c r="BD157" s="127" t="s">
        <v>511</v>
      </c>
      <c r="BE157" s="2" t="s">
        <v>391</v>
      </c>
      <c r="BF157" s="2" t="s">
        <v>367</v>
      </c>
      <c r="BG157" s="2" t="s">
        <v>367</v>
      </c>
      <c r="BH157" s="2" t="s">
        <v>398</v>
      </c>
      <c r="BI157" s="2" t="s">
        <v>399</v>
      </c>
      <c r="BJ157" s="2" t="s">
        <v>379</v>
      </c>
      <c r="BK157" s="2" t="s">
        <v>403</v>
      </c>
      <c r="BL157" s="2" t="s">
        <v>544</v>
      </c>
    </row>
    <row r="158" spans="1:66" ht="30" customHeight="1">
      <c r="A158" s="250" t="s">
        <v>1148</v>
      </c>
      <c r="B158" s="944" t="s">
        <v>1205</v>
      </c>
      <c r="C158" s="944"/>
      <c r="D158" s="944"/>
      <c r="E158" s="944"/>
      <c r="F158" s="944"/>
      <c r="G158" s="944"/>
      <c r="H158" s="944"/>
      <c r="I158" s="944"/>
      <c r="J158" s="944"/>
      <c r="K158" s="944"/>
      <c r="L158" s="944"/>
      <c r="M158" s="251"/>
      <c r="N158" s="252" t="s">
        <v>1149</v>
      </c>
    </row>
    <row r="159" spans="1:66">
      <c r="A159" s="253"/>
      <c r="B159" s="28"/>
      <c r="C159" s="28"/>
      <c r="D159" s="28"/>
      <c r="E159" s="28"/>
      <c r="F159" s="28"/>
      <c r="G159" s="28"/>
      <c r="H159" s="322"/>
      <c r="I159" s="28"/>
      <c r="J159" s="28"/>
      <c r="K159" s="28"/>
      <c r="L159" s="28"/>
      <c r="M159" s="28"/>
      <c r="N159" s="254"/>
    </row>
    <row r="160" spans="1:66" ht="13.95" customHeight="1">
      <c r="A160" s="253"/>
      <c r="B160" s="966" t="str">
        <f>BB160</f>
        <v>If not getting enough water, you will naturally obsess more about water. Reasoning has little to do with it. You can use reasoning for how to get the water you need, but there is no rational choice involved when nature prioritizes your urgent need for water. Emotions then rule.</v>
      </c>
      <c r="C160" s="966"/>
      <c r="D160" s="966"/>
      <c r="E160" s="966"/>
      <c r="F160" s="966"/>
      <c r="G160" s="966"/>
      <c r="H160" s="966"/>
      <c r="I160" s="966"/>
      <c r="J160" s="966"/>
      <c r="K160" s="966"/>
      <c r="L160" s="966"/>
      <c r="M160" s="966"/>
      <c r="N160" s="254"/>
      <c r="BB160" s="2" t="str">
        <f>CONCATENATE(BE160,BF160,BG160,BH160,BI160,BJ160,BK160,BL160,BM160)</f>
        <v>If not getting enough water, you will naturally obsess more about water. Reasoning has little to do with it. You can use reasoning for how to get the water you need, but there is no rational choice involved when nature prioritizes your urgent need for water. Emotions then rule.</v>
      </c>
      <c r="BE160" s="2" t="s">
        <v>584</v>
      </c>
      <c r="BF160" s="2" t="str">
        <f>BN145</f>
        <v>water</v>
      </c>
      <c r="BG160" s="129" t="s">
        <v>585</v>
      </c>
      <c r="BH160" s="2" t="str">
        <f>BF160</f>
        <v>water</v>
      </c>
      <c r="BI160" s="2" t="s">
        <v>586</v>
      </c>
      <c r="BJ160" s="2" t="str">
        <f>BH160</f>
        <v>water</v>
      </c>
      <c r="BK160" s="2" t="s">
        <v>587</v>
      </c>
      <c r="BL160" s="2" t="str">
        <f>BJ160</f>
        <v>water</v>
      </c>
      <c r="BM160" s="2" t="s">
        <v>594</v>
      </c>
    </row>
    <row r="161" spans="1:64">
      <c r="A161" s="253"/>
      <c r="B161" s="966"/>
      <c r="C161" s="966"/>
      <c r="D161" s="966"/>
      <c r="E161" s="966"/>
      <c r="F161" s="966"/>
      <c r="G161" s="966"/>
      <c r="H161" s="966"/>
      <c r="I161" s="966"/>
      <c r="J161" s="966"/>
      <c r="K161" s="966"/>
      <c r="L161" s="966"/>
      <c r="M161" s="966"/>
      <c r="N161" s="254"/>
      <c r="BB161" s="2" t="str">
        <f>CONCATENATE(BE161,BF161,BG161,BH161,BI161,BJ161,BK161,BL161,BM161)</f>
        <v>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water you need completely on your own, or must you trust others?</v>
      </c>
      <c r="BE161" s="2" t="s">
        <v>1218</v>
      </c>
      <c r="BF161" s="2" t="str">
        <f>BF160</f>
        <v>water</v>
      </c>
      <c r="BG161" s="2" t="s">
        <v>588</v>
      </c>
    </row>
    <row r="162" spans="1:64">
      <c r="A162" s="253"/>
      <c r="B162" s="966"/>
      <c r="C162" s="966"/>
      <c r="D162" s="966"/>
      <c r="E162" s="966"/>
      <c r="F162" s="966"/>
      <c r="G162" s="966"/>
      <c r="H162" s="966"/>
      <c r="I162" s="966"/>
      <c r="J162" s="966"/>
      <c r="K162" s="966"/>
      <c r="L162" s="966"/>
      <c r="M162" s="966"/>
      <c r="N162" s="254"/>
    </row>
    <row r="163" spans="1:64">
      <c r="A163" s="253"/>
      <c r="B163" s="966"/>
      <c r="C163" s="966"/>
      <c r="D163" s="966"/>
      <c r="E163" s="966"/>
      <c r="F163" s="966"/>
      <c r="G163" s="966"/>
      <c r="H163" s="966"/>
      <c r="I163" s="966"/>
      <c r="J163" s="966"/>
      <c r="K163" s="966"/>
      <c r="L163" s="966"/>
      <c r="M163" s="966"/>
      <c r="N163" s="254"/>
    </row>
    <row r="164" spans="1:64" ht="14.4" customHeight="1">
      <c r="A164" s="253"/>
      <c r="B164" s="966" t="str">
        <f>BB161</f>
        <v>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water you need completely on your own, or must you trust others?</v>
      </c>
      <c r="C164" s="966"/>
      <c r="D164" s="966"/>
      <c r="E164" s="966"/>
      <c r="F164" s="966"/>
      <c r="G164" s="966"/>
      <c r="H164" s="966"/>
      <c r="I164" s="966"/>
      <c r="J164" s="966"/>
      <c r="K164" s="966"/>
      <c r="L164" s="966"/>
      <c r="M164" s="966"/>
      <c r="N164" s="254"/>
    </row>
    <row r="165" spans="1:64" ht="16.2">
      <c r="A165" s="253"/>
      <c r="B165" s="966"/>
      <c r="C165" s="966"/>
      <c r="D165" s="966"/>
      <c r="E165" s="966"/>
      <c r="F165" s="966"/>
      <c r="G165" s="966"/>
      <c r="H165" s="966"/>
      <c r="I165" s="966"/>
      <c r="J165" s="966"/>
      <c r="K165" s="966"/>
      <c r="L165" s="966"/>
      <c r="M165" s="966"/>
      <c r="N165" s="254"/>
      <c r="BE165" s="49" t="s">
        <v>73</v>
      </c>
      <c r="BF165" s="49" t="s">
        <v>74</v>
      </c>
      <c r="BG165" s="49" t="s">
        <v>75</v>
      </c>
      <c r="BH165" s="49" t="s">
        <v>76</v>
      </c>
      <c r="BI165" s="49" t="s">
        <v>77</v>
      </c>
      <c r="BJ165" s="49" t="s">
        <v>78</v>
      </c>
      <c r="BK165" s="49" t="s">
        <v>79</v>
      </c>
      <c r="BL165" s="49" t="s">
        <v>80</v>
      </c>
    </row>
    <row r="166" spans="1:64" ht="15.6" customHeight="1">
      <c r="A166" s="253"/>
      <c r="B166" s="966"/>
      <c r="C166" s="966"/>
      <c r="D166" s="966"/>
      <c r="E166" s="966"/>
      <c r="F166" s="966"/>
      <c r="G166" s="966"/>
      <c r="H166" s="966"/>
      <c r="I166" s="966"/>
      <c r="J166" s="966"/>
      <c r="K166" s="966"/>
      <c r="L166" s="966"/>
      <c r="M166" s="966"/>
      <c r="N166" s="254"/>
    </row>
    <row r="167" spans="1:64" ht="16.95" customHeight="1">
      <c r="A167" s="253"/>
      <c r="B167" s="966"/>
      <c r="C167" s="966"/>
      <c r="D167" s="966"/>
      <c r="E167" s="966"/>
      <c r="F167" s="966"/>
      <c r="G167" s="966"/>
      <c r="H167" s="966"/>
      <c r="I167" s="966"/>
      <c r="J167" s="966"/>
      <c r="K167" s="966"/>
      <c r="L167" s="966"/>
      <c r="M167" s="966"/>
      <c r="N167" s="254"/>
      <c r="BB167" s="2" t="str">
        <f>IF($Q$92=BB$92,BE167,IF($Q$92=BB$93,BF167,IF($Q$92=BB$94,BG167,IF($Q$92=BB$95,BH167,IF($Q$92=BB$96,BI167,IF($Q$92=BB$97,BJ167,IF($Q$92=BB$98,BK167,IF($Q$92=BB$99,BL167,""))))))))</f>
        <v>OPEN BORDERS</v>
      </c>
      <c r="BD167" s="50" t="s">
        <v>125</v>
      </c>
      <c r="BE167" s="2" t="s">
        <v>17</v>
      </c>
      <c r="BF167" s="2" t="s">
        <v>265</v>
      </c>
      <c r="BG167" s="2" t="s">
        <v>271</v>
      </c>
      <c r="BH167" s="2" t="s">
        <v>281</v>
      </c>
      <c r="BI167" s="2" t="s">
        <v>293</v>
      </c>
      <c r="BJ167" s="2" t="s">
        <v>309</v>
      </c>
      <c r="BK167" s="2" t="s">
        <v>323</v>
      </c>
      <c r="BL167" s="2" t="s">
        <v>335</v>
      </c>
    </row>
    <row r="168" spans="1:64" ht="30" customHeight="1">
      <c r="A168" s="253"/>
      <c r="B168" s="909" t="s">
        <v>0</v>
      </c>
      <c r="C168" s="28"/>
      <c r="D168" s="28"/>
      <c r="E168" s="28"/>
      <c r="F168" s="28"/>
      <c r="G168" s="28"/>
      <c r="H168" s="909" t="s">
        <v>1</v>
      </c>
      <c r="I168" s="28"/>
      <c r="J168" s="28"/>
      <c r="K168" s="28"/>
      <c r="L168" s="28"/>
      <c r="M168" s="28"/>
      <c r="N168" s="254"/>
      <c r="BB168" s="2" t="str">
        <f t="shared" ref="BB168:BB180" si="2">IF($Q$92=BB$92,BE168,IF($Q$92=BB$93,BF168,IF($Q$92=BB$94,BG168,IF($Q$92=BB$95,BH168,IF($Q$92=BB$96,BI168,IF($Q$92=BB$97,BJ168,IF($Q$92=BB$98,BK168,IF($Q$92=BB$99,BL168,""))))))))</f>
        <v>RELAX BORDERS</v>
      </c>
      <c r="BD168" s="50" t="s">
        <v>126</v>
      </c>
      <c r="BE168" s="2" t="s">
        <v>18</v>
      </c>
      <c r="BF168" s="2" t="s">
        <v>266</v>
      </c>
      <c r="BG168" s="2" t="s">
        <v>272</v>
      </c>
      <c r="BH168" s="2" t="s">
        <v>282</v>
      </c>
      <c r="BI168" s="2" t="s">
        <v>296</v>
      </c>
      <c r="BJ168" s="2" t="s">
        <v>310</v>
      </c>
      <c r="BK168" s="2" t="s">
        <v>324</v>
      </c>
      <c r="BL168" s="2" t="s">
        <v>336</v>
      </c>
    </row>
    <row r="169" spans="1:64" ht="30" customHeight="1">
      <c r="A169" s="253"/>
      <c r="B169" s="1010" t="s">
        <v>589</v>
      </c>
      <c r="C169" s="1010"/>
      <c r="D169" s="1010"/>
      <c r="E169" s="1010"/>
      <c r="F169" s="1010"/>
      <c r="G169" s="1010"/>
      <c r="H169" s="1010" t="s">
        <v>1245</v>
      </c>
      <c r="I169" s="1010"/>
      <c r="J169" s="1010"/>
      <c r="K169" s="1010"/>
      <c r="L169" s="1010"/>
      <c r="M169" s="1010"/>
      <c r="N169" s="254"/>
      <c r="BB169" s="2" t="str">
        <f t="shared" si="2"/>
        <v>EASY ENTRY</v>
      </c>
      <c r="BD169" s="50" t="s">
        <v>127</v>
      </c>
      <c r="BE169" s="2" t="s">
        <v>135</v>
      </c>
      <c r="BF169" s="2" t="s">
        <v>267</v>
      </c>
      <c r="BG169" s="2" t="s">
        <v>273</v>
      </c>
      <c r="BH169" s="2" t="s">
        <v>283</v>
      </c>
      <c r="BI169" s="2" t="s">
        <v>297</v>
      </c>
      <c r="BJ169" s="2" t="s">
        <v>311</v>
      </c>
      <c r="BK169" s="2" t="s">
        <v>325</v>
      </c>
      <c r="BL169" s="2" t="s">
        <v>337</v>
      </c>
    </row>
    <row r="170" spans="1:64" ht="30" customHeight="1">
      <c r="A170" s="253"/>
      <c r="B170" s="1010"/>
      <c r="C170" s="1010"/>
      <c r="D170" s="1010"/>
      <c r="E170" s="1010"/>
      <c r="F170" s="1010"/>
      <c r="G170" s="1010"/>
      <c r="H170" s="1010"/>
      <c r="I170" s="1010"/>
      <c r="J170" s="1010"/>
      <c r="K170" s="1010"/>
      <c r="L170" s="1010"/>
      <c r="M170" s="1010"/>
      <c r="N170" s="254"/>
      <c r="BB170" s="2" t="str">
        <f t="shared" si="2"/>
        <v>STEM ENTRY</v>
      </c>
      <c r="BD170" s="50" t="s">
        <v>128</v>
      </c>
      <c r="BE170" s="2" t="s">
        <v>192</v>
      </c>
      <c r="BF170" s="2" t="s">
        <v>268</v>
      </c>
      <c r="BG170" s="2" t="s">
        <v>274</v>
      </c>
      <c r="BH170" s="2" t="s">
        <v>284</v>
      </c>
      <c r="BI170" s="2" t="s">
        <v>298</v>
      </c>
      <c r="BJ170" s="2" t="s">
        <v>312</v>
      </c>
      <c r="BK170" s="2" t="s">
        <v>326</v>
      </c>
      <c r="BL170" s="2" t="s">
        <v>338</v>
      </c>
    </row>
    <row r="171" spans="1:64" ht="4.95" customHeight="1">
      <c r="A171" s="253"/>
      <c r="B171" s="1011" t="s">
        <v>590</v>
      </c>
      <c r="C171" s="1011"/>
      <c r="D171" s="1011"/>
      <c r="E171" s="1011"/>
      <c r="F171" s="1011"/>
      <c r="G171" s="1011"/>
      <c r="H171" s="1011" t="s">
        <v>591</v>
      </c>
      <c r="I171" s="1011"/>
      <c r="J171" s="1011"/>
      <c r="K171" s="1011"/>
      <c r="L171" s="1011"/>
      <c r="M171" s="1011"/>
      <c r="N171" s="254"/>
      <c r="BD171" s="50"/>
    </row>
    <row r="172" spans="1:64" ht="15" customHeight="1">
      <c r="A172" s="253"/>
      <c r="B172" s="1012"/>
      <c r="C172" s="1012"/>
      <c r="D172" s="1012"/>
      <c r="E172" s="1012"/>
      <c r="F172" s="1012"/>
      <c r="G172" s="1012"/>
      <c r="H172" s="1012"/>
      <c r="I172" s="1012"/>
      <c r="J172" s="1012"/>
      <c r="K172" s="1012"/>
      <c r="L172" s="1012"/>
      <c r="M172" s="1012"/>
      <c r="N172" s="254"/>
      <c r="BB172" s="2" t="str">
        <f t="shared" si="2"/>
        <v>MERIT ENTRY</v>
      </c>
      <c r="BD172" s="50" t="s">
        <v>129</v>
      </c>
      <c r="BE172" s="2" t="s">
        <v>193</v>
      </c>
      <c r="BF172" s="2" t="s">
        <v>269</v>
      </c>
      <c r="BG172" s="2" t="s">
        <v>275</v>
      </c>
      <c r="BH172" s="2" t="s">
        <v>285</v>
      </c>
      <c r="BI172" s="2" t="s">
        <v>299</v>
      </c>
      <c r="BJ172" s="2" t="s">
        <v>313</v>
      </c>
      <c r="BK172" s="2" t="s">
        <v>327</v>
      </c>
      <c r="BL172" s="2" t="s">
        <v>339</v>
      </c>
    </row>
    <row r="173" spans="1:64" ht="34.950000000000003" customHeight="1">
      <c r="A173" s="253"/>
      <c r="B173" s="1225"/>
      <c r="C173" s="967"/>
      <c r="D173" s="967"/>
      <c r="E173" s="967"/>
      <c r="F173" s="967"/>
      <c r="G173" s="1226"/>
      <c r="H173" s="967"/>
      <c r="I173" s="967"/>
      <c r="J173" s="967"/>
      <c r="K173" s="967"/>
      <c r="L173" s="967"/>
      <c r="M173" s="968"/>
      <c r="N173" s="254"/>
      <c r="BB173" s="2" t="str">
        <f t="shared" si="2"/>
        <v>NO ENTRY</v>
      </c>
      <c r="BD173" s="50" t="s">
        <v>130</v>
      </c>
      <c r="BE173" s="2" t="s">
        <v>194</v>
      </c>
      <c r="BF173" s="2" t="s">
        <v>270</v>
      </c>
      <c r="BG173" s="2" t="s">
        <v>276</v>
      </c>
      <c r="BH173" s="2" t="s">
        <v>286</v>
      </c>
      <c r="BI173" s="2" t="s">
        <v>300</v>
      </c>
      <c r="BJ173" s="2" t="s">
        <v>314</v>
      </c>
      <c r="BK173" s="2" t="s">
        <v>328</v>
      </c>
      <c r="BL173" s="2" t="s">
        <v>716</v>
      </c>
    </row>
    <row r="174" spans="1:64" ht="15" customHeight="1">
      <c r="A174" s="253"/>
      <c r="B174" s="28"/>
      <c r="C174" s="28"/>
      <c r="D174" s="28"/>
      <c r="E174" s="28"/>
      <c r="F174" s="28"/>
      <c r="G174" s="28"/>
      <c r="H174" s="322"/>
      <c r="I174" s="28"/>
      <c r="J174" s="28"/>
      <c r="K174" s="28"/>
      <c r="L174" s="28"/>
      <c r="M174" s="28"/>
      <c r="N174" s="254"/>
      <c r="BD174" s="48"/>
    </row>
    <row r="175" spans="1:64" ht="14.4" customHeight="1">
      <c r="A175" s="253"/>
      <c r="B175" s="1013" t="s">
        <v>592</v>
      </c>
      <c r="C175" s="1013"/>
      <c r="D175" s="1013"/>
      <c r="E175" s="1013"/>
      <c r="F175" s="1013"/>
      <c r="G175" s="1013"/>
      <c r="H175" s="1013"/>
      <c r="I175" s="1013"/>
      <c r="J175" s="1013"/>
      <c r="K175" s="1013"/>
      <c r="L175" s="1013"/>
      <c r="M175" s="1013"/>
      <c r="N175" s="254"/>
      <c r="BB175" s="2" t="str">
        <f>IF($Q$92=BB$92,BE175,IF($Q$92=BB$93,BF175,IF($Q$92=BB$94,BG175,IF($Q$92=BB$95,BH175,IF($Q$92=BB$96,BI175,IF($Q$92=BB$97,BJ175,IF($Q$92=BB$98,BK175,IF($Q$92=BB$99,BL175,""))))))))</f>
        <v>We as nontraditional people feel systemically excluded from advantaged spaces by arbitrary national borders</v>
      </c>
      <c r="BD175" s="50" t="s">
        <v>119</v>
      </c>
      <c r="BE175" s="2" t="s">
        <v>346</v>
      </c>
      <c r="BF175" s="2" t="s">
        <v>352</v>
      </c>
      <c r="BG175" s="2" t="s">
        <v>358</v>
      </c>
      <c r="BH175" s="2" t="s">
        <v>287</v>
      </c>
      <c r="BI175" s="2" t="s">
        <v>301</v>
      </c>
      <c r="BJ175" s="2" t="s">
        <v>315</v>
      </c>
      <c r="BK175" s="2" t="s">
        <v>329</v>
      </c>
      <c r="BL175" s="2" t="s">
        <v>340</v>
      </c>
    </row>
    <row r="176" spans="1:64" ht="14.4" customHeight="1">
      <c r="A176" s="253"/>
      <c r="B176" s="1014"/>
      <c r="C176" s="1015"/>
      <c r="D176" s="1015"/>
      <c r="E176" s="1015"/>
      <c r="F176" s="1015"/>
      <c r="G176" s="1015"/>
      <c r="H176" s="1015"/>
      <c r="I176" s="1015"/>
      <c r="J176" s="1015"/>
      <c r="K176" s="1015"/>
      <c r="L176" s="1015"/>
      <c r="M176" s="1016"/>
      <c r="N176" s="254"/>
      <c r="BB176" s="2" t="str">
        <f>IF($Q$92=BB$92,BE176,IF($Q$92=BB$93,BF176,IF($Q$92=BB$94,BG176,IF($Q$92=BB$95,BH176,IF($Q$92=BB$96,BI176,IF($Q$92=BB$97,BJ176,IF($Q$92=BB$98,BK176,IF($Q$92=BB$99,BL176,""))))))))</f>
        <v>We need to admit most immigrants are desperate to leave situations largely of our interventionists making</v>
      </c>
      <c r="BD176" s="50" t="s">
        <v>120</v>
      </c>
      <c r="BE176" s="2" t="s">
        <v>347</v>
      </c>
      <c r="BF176" s="2" t="s">
        <v>353</v>
      </c>
      <c r="BG176" s="2" t="s">
        <v>359</v>
      </c>
      <c r="BH176" s="2" t="s">
        <v>288</v>
      </c>
      <c r="BI176" s="2" t="s">
        <v>302</v>
      </c>
      <c r="BJ176" s="2" t="s">
        <v>316</v>
      </c>
      <c r="BK176" s="2" t="s">
        <v>330</v>
      </c>
      <c r="BL176" s="2" t="s">
        <v>341</v>
      </c>
    </row>
    <row r="177" spans="1:64" ht="14.4" customHeight="1">
      <c r="A177" s="253"/>
      <c r="B177" s="1017"/>
      <c r="C177" s="1018"/>
      <c r="D177" s="1018"/>
      <c r="E177" s="1018"/>
      <c r="F177" s="1018"/>
      <c r="G177" s="1018"/>
      <c r="H177" s="1018"/>
      <c r="I177" s="1018"/>
      <c r="J177" s="1018"/>
      <c r="K177" s="1018"/>
      <c r="L177" s="1018"/>
      <c r="M177" s="1019"/>
      <c r="N177" s="254"/>
      <c r="BB177" s="2" t="str">
        <f>IF($Q$92=BB$92,BE177,IF($Q$92=BB$93,BF177,IF($Q$92=BB$94,BG177,IF($Q$92=BB$95,BH177,IF($Q$92=BB$96,BI177,IF($Q$92=BB$97,BJ177,IF($Q$92=BB$98,BK177,IF($Q$92=BB$99,BL177,""))))))))</f>
        <v>We need immigrants willing to do jobs citizens won’t and offer amnesty for citizenship after they show such merit</v>
      </c>
      <c r="BD177" s="50" t="s">
        <v>121</v>
      </c>
      <c r="BE177" s="2" t="s">
        <v>348</v>
      </c>
      <c r="BF177" s="2" t="s">
        <v>354</v>
      </c>
      <c r="BG177" s="2" t="s">
        <v>360</v>
      </c>
      <c r="BH177" s="2" t="s">
        <v>289</v>
      </c>
      <c r="BI177" s="2" t="s">
        <v>303</v>
      </c>
      <c r="BJ177" s="2" t="s">
        <v>317</v>
      </c>
      <c r="BK177" s="2" t="s">
        <v>331</v>
      </c>
      <c r="BL177" s="2" t="s">
        <v>342</v>
      </c>
    </row>
    <row r="178" spans="1:64" ht="14.4" customHeight="1">
      <c r="A178" s="253"/>
      <c r="B178" s="1224" t="s">
        <v>593</v>
      </c>
      <c r="C178" s="1224"/>
      <c r="D178" s="1224"/>
      <c r="E178" s="1224"/>
      <c r="F178" s="1224"/>
      <c r="G178" s="1224"/>
      <c r="H178" s="1224"/>
      <c r="I178" s="1224"/>
      <c r="J178" s="1224"/>
      <c r="K178" s="1224"/>
      <c r="L178" s="1224"/>
      <c r="M178" s="1224"/>
      <c r="N178" s="254"/>
      <c r="BB178" s="2" t="str">
        <f t="shared" si="2"/>
        <v>We can offer amnesty to children born to illegal migrant parents after they show merit</v>
      </c>
      <c r="BD178" s="50" t="s">
        <v>122</v>
      </c>
      <c r="BE178" s="2" t="s">
        <v>349</v>
      </c>
      <c r="BF178" s="2" t="s">
        <v>355</v>
      </c>
      <c r="BG178" s="2" t="s">
        <v>361</v>
      </c>
      <c r="BH178" s="2" t="s">
        <v>290</v>
      </c>
      <c r="BI178" s="2" t="s">
        <v>304</v>
      </c>
      <c r="BJ178" s="2" t="s">
        <v>319</v>
      </c>
      <c r="BK178" s="2" t="s">
        <v>332</v>
      </c>
      <c r="BL178" s="2" t="s">
        <v>343</v>
      </c>
    </row>
    <row r="179" spans="1:64" ht="14.4" customHeight="1">
      <c r="A179" s="253"/>
      <c r="B179" s="28"/>
      <c r="C179" s="28"/>
      <c r="D179" s="28"/>
      <c r="E179" s="28"/>
      <c r="F179" s="28"/>
      <c r="G179" s="28"/>
      <c r="H179" s="322"/>
      <c r="I179" s="28"/>
      <c r="J179" s="28"/>
      <c r="K179" s="28"/>
      <c r="L179" s="28"/>
      <c r="M179" s="28"/>
      <c r="N179" s="254"/>
      <c r="BB179" s="2" t="str">
        <f t="shared" si="2"/>
        <v>We need to limit migration to those first showing merit before crossing any of our sacred borders</v>
      </c>
      <c r="BD179" s="50" t="s">
        <v>123</v>
      </c>
      <c r="BE179" s="2" t="s">
        <v>350</v>
      </c>
      <c r="BF179" s="2" t="s">
        <v>356</v>
      </c>
      <c r="BG179" s="2" t="s">
        <v>362</v>
      </c>
      <c r="BH179" s="2" t="s">
        <v>291</v>
      </c>
      <c r="BI179" s="2" t="s">
        <v>305</v>
      </c>
      <c r="BJ179" s="2" t="s">
        <v>318</v>
      </c>
      <c r="BK179" s="2" t="s">
        <v>333</v>
      </c>
      <c r="BL179" s="2" t="s">
        <v>714</v>
      </c>
    </row>
    <row r="180" spans="1:64" ht="14.4" customHeight="1">
      <c r="A180" s="253"/>
      <c r="B180" s="966" t="str">
        <f>BB182</f>
        <v>SELECT OPTIONS ABOVE TO ESTIMATE YOUR PRIORITIZING PSYCHOSOCIAL NEEDS</v>
      </c>
      <c r="C180" s="966"/>
      <c r="D180" s="966"/>
      <c r="E180" s="966"/>
      <c r="F180" s="966"/>
      <c r="G180" s="966"/>
      <c r="H180" s="966"/>
      <c r="I180" s="966"/>
      <c r="J180" s="966"/>
      <c r="K180" s="966"/>
      <c r="L180" s="966"/>
      <c r="M180" s="966"/>
      <c r="N180" s="254"/>
      <c r="BB180" s="2" t="str">
        <f t="shared" si="2"/>
        <v>Nativist Americans feel smothered by excessive immigration, pressurizing already strained cohesion</v>
      </c>
      <c r="BD180" s="50" t="s">
        <v>124</v>
      </c>
      <c r="BE180" s="2" t="s">
        <v>351</v>
      </c>
      <c r="BF180" s="2" t="s">
        <v>357</v>
      </c>
      <c r="BG180" s="2" t="s">
        <v>363</v>
      </c>
      <c r="BH180" s="2" t="s">
        <v>292</v>
      </c>
      <c r="BI180" s="2" t="s">
        <v>306</v>
      </c>
      <c r="BJ180" s="2" t="s">
        <v>320</v>
      </c>
      <c r="BK180" s="2" t="s">
        <v>334</v>
      </c>
      <c r="BL180" s="2" t="s">
        <v>344</v>
      </c>
    </row>
    <row r="181" spans="1:64" ht="15" customHeight="1">
      <c r="A181" s="253"/>
      <c r="B181" s="966"/>
      <c r="C181" s="966"/>
      <c r="D181" s="966"/>
      <c r="E181" s="966"/>
      <c r="F181" s="966"/>
      <c r="G181" s="966"/>
      <c r="H181" s="966"/>
      <c r="I181" s="966"/>
      <c r="J181" s="966"/>
      <c r="K181" s="966"/>
      <c r="L181" s="966"/>
      <c r="M181" s="966"/>
      <c r="N181" s="254"/>
    </row>
    <row r="182" spans="1:64" ht="34.950000000000003" customHeight="1">
      <c r="A182" s="253"/>
      <c r="B182" s="966"/>
      <c r="C182" s="966"/>
      <c r="D182" s="966"/>
      <c r="E182" s="966"/>
      <c r="F182" s="966"/>
      <c r="G182" s="966"/>
      <c r="H182" s="966"/>
      <c r="I182" s="966"/>
      <c r="J182" s="966"/>
      <c r="K182" s="966"/>
      <c r="L182" s="966"/>
      <c r="M182" s="966"/>
      <c r="N182" s="254"/>
      <c r="BB182" s="2" t="str">
        <f>IF(B176="",BB183,BE106)</f>
        <v>SELECT OPTIONS ABOVE TO ESTIMATE YOUR PRIORITIZING PSYCHOSOCIAL NEEDS</v>
      </c>
    </row>
    <row r="183" spans="1:64">
      <c r="A183" s="253"/>
      <c r="B183" s="280"/>
      <c r="C183" s="280"/>
      <c r="D183" s="280"/>
      <c r="E183" s="280"/>
      <c r="F183" s="280"/>
      <c r="G183" s="280"/>
      <c r="H183" s="327"/>
      <c r="I183" s="280"/>
      <c r="J183" s="280"/>
      <c r="K183" s="280"/>
      <c r="L183" s="280"/>
      <c r="M183" s="280"/>
      <c r="N183" s="254"/>
      <c r="BB183" s="2" t="s">
        <v>1219</v>
      </c>
    </row>
    <row r="184" spans="1:64">
      <c r="A184" s="253"/>
      <c r="B184" s="280"/>
      <c r="C184" s="280"/>
      <c r="D184" s="280"/>
      <c r="E184" s="280"/>
      <c r="F184" s="280"/>
      <c r="G184" s="280"/>
      <c r="H184" s="327"/>
      <c r="I184" s="280"/>
      <c r="J184" s="280"/>
      <c r="K184" s="280"/>
      <c r="L184" s="280"/>
      <c r="M184" s="280"/>
      <c r="N184" s="254"/>
    </row>
    <row r="185" spans="1:64">
      <c r="A185" s="253"/>
      <c r="B185" s="28"/>
      <c r="C185" s="28"/>
      <c r="D185" s="28"/>
      <c r="E185" s="28"/>
      <c r="F185" s="28"/>
      <c r="G185" s="28"/>
      <c r="H185" s="322"/>
      <c r="I185" s="28"/>
      <c r="J185" s="28"/>
      <c r="K185" s="28"/>
      <c r="L185" s="28"/>
      <c r="M185" s="28"/>
      <c r="N185" s="254"/>
    </row>
    <row r="186" spans="1:64">
      <c r="A186" s="253"/>
      <c r="B186" s="28"/>
      <c r="C186" s="28"/>
      <c r="D186" s="28"/>
      <c r="E186" s="28"/>
      <c r="F186" s="28"/>
      <c r="G186" s="28"/>
      <c r="H186" s="322"/>
      <c r="I186" s="28"/>
      <c r="J186" s="28"/>
      <c r="K186" s="28"/>
      <c r="L186" s="28"/>
      <c r="M186" s="28"/>
      <c r="N186" s="254"/>
    </row>
    <row r="187" spans="1:64">
      <c r="A187" s="253"/>
      <c r="B187" s="28"/>
      <c r="C187" s="28"/>
      <c r="D187" s="28"/>
      <c r="E187" s="28"/>
      <c r="F187" s="28"/>
      <c r="G187" s="28"/>
      <c r="H187" s="322"/>
      <c r="I187" s="28"/>
      <c r="J187" s="28"/>
      <c r="K187" s="28"/>
      <c r="L187" s="28"/>
      <c r="M187" s="28"/>
      <c r="N187" s="254"/>
    </row>
    <row r="188" spans="1:64">
      <c r="A188" s="253"/>
      <c r="B188" s="28"/>
      <c r="C188" s="28"/>
      <c r="D188" s="28"/>
      <c r="E188" s="28"/>
      <c r="F188" s="28"/>
      <c r="G188" s="28"/>
      <c r="H188" s="322"/>
      <c r="I188" s="28"/>
      <c r="J188" s="28"/>
      <c r="K188" s="28"/>
      <c r="L188" s="28"/>
      <c r="M188" s="28"/>
      <c r="N188" s="254"/>
    </row>
    <row r="189" spans="1:64">
      <c r="A189" s="253"/>
      <c r="B189" s="28"/>
      <c r="C189" s="28"/>
      <c r="D189" s="28"/>
      <c r="E189" s="28"/>
      <c r="F189" s="28"/>
      <c r="G189" s="28"/>
      <c r="H189" s="322"/>
      <c r="I189" s="28"/>
      <c r="J189" s="28"/>
      <c r="K189" s="28"/>
      <c r="L189" s="28"/>
      <c r="M189" s="28"/>
      <c r="N189" s="254"/>
    </row>
    <row r="190" spans="1:64">
      <c r="A190" s="253"/>
      <c r="B190" s="28"/>
      <c r="C190" s="28"/>
      <c r="D190" s="28"/>
      <c r="E190" s="28"/>
      <c r="F190" s="28"/>
      <c r="G190" s="28"/>
      <c r="H190" s="322"/>
      <c r="I190" s="28"/>
      <c r="J190" s="28"/>
      <c r="K190" s="28"/>
      <c r="L190" s="28"/>
      <c r="M190" s="28"/>
      <c r="N190" s="254"/>
    </row>
    <row r="191" spans="1:64">
      <c r="A191" s="253"/>
      <c r="B191" s="28"/>
      <c r="C191" s="28"/>
      <c r="D191" s="28"/>
      <c r="E191" s="28"/>
      <c r="F191" s="28"/>
      <c r="G191" s="28"/>
      <c r="H191" s="322"/>
      <c r="I191" s="28"/>
      <c r="J191" s="28"/>
      <c r="K191" s="28"/>
      <c r="L191" s="28"/>
      <c r="M191" s="28"/>
      <c r="N191" s="254"/>
    </row>
    <row r="192" spans="1:64">
      <c r="A192" s="253"/>
      <c r="B192" s="28"/>
      <c r="C192" s="28"/>
      <c r="D192" s="28"/>
      <c r="E192" s="28"/>
      <c r="F192" s="28"/>
      <c r="G192" s="28"/>
      <c r="H192" s="322"/>
      <c r="I192" s="28"/>
      <c r="J192" s="28"/>
      <c r="K192" s="28"/>
      <c r="L192" s="28"/>
      <c r="M192" s="28"/>
      <c r="N192" s="254"/>
    </row>
    <row r="193" spans="1:81">
      <c r="A193" s="253"/>
      <c r="B193" s="28"/>
      <c r="C193" s="28"/>
      <c r="D193" s="28"/>
      <c r="E193" s="28"/>
      <c r="F193" s="28"/>
      <c r="G193" s="28"/>
      <c r="H193" s="322"/>
      <c r="I193" s="28"/>
      <c r="J193" s="28"/>
      <c r="K193" s="28"/>
      <c r="L193" s="28"/>
      <c r="M193" s="28"/>
      <c r="N193" s="254"/>
    </row>
    <row r="194" spans="1:81">
      <c r="A194" s="253"/>
      <c r="B194" s="28"/>
      <c r="C194" s="28"/>
      <c r="D194" s="28"/>
      <c r="E194" s="28"/>
      <c r="F194" s="28"/>
      <c r="G194" s="28"/>
      <c r="H194" s="322"/>
      <c r="I194" s="28"/>
      <c r="J194" s="28"/>
      <c r="K194" s="28"/>
      <c r="L194" s="28"/>
      <c r="M194" s="28"/>
      <c r="N194" s="254"/>
    </row>
    <row r="195" spans="1:81">
      <c r="A195" s="253"/>
      <c r="B195" s="28"/>
      <c r="C195" s="28"/>
      <c r="D195" s="28"/>
      <c r="E195" s="28"/>
      <c r="F195" s="28"/>
      <c r="G195" s="28"/>
      <c r="H195" s="322"/>
      <c r="I195" s="28"/>
      <c r="J195" s="28"/>
      <c r="K195" s="28"/>
      <c r="L195" s="28"/>
      <c r="M195" s="28"/>
      <c r="N195" s="254"/>
    </row>
    <row r="196" spans="1:81">
      <c r="A196" s="253"/>
      <c r="B196" s="28"/>
      <c r="C196" s="28"/>
      <c r="D196" s="28"/>
      <c r="E196" s="28"/>
      <c r="F196" s="28"/>
      <c r="G196" s="28"/>
      <c r="H196" s="322"/>
      <c r="I196" s="28"/>
      <c r="J196" s="28"/>
      <c r="K196" s="28"/>
      <c r="L196" s="28"/>
      <c r="M196" s="28"/>
      <c r="N196" s="254"/>
    </row>
    <row r="197" spans="1:81">
      <c r="A197" s="255"/>
      <c r="B197" s="256"/>
      <c r="C197" s="256"/>
      <c r="D197" s="256"/>
      <c r="E197" s="256"/>
      <c r="F197" s="256"/>
      <c r="G197" s="256"/>
      <c r="H197" s="323"/>
      <c r="I197" s="256"/>
      <c r="J197" s="256"/>
      <c r="K197" s="256"/>
      <c r="L197" s="256"/>
      <c r="M197" s="256"/>
      <c r="N197" s="257"/>
    </row>
    <row r="198" spans="1:81" ht="30" customHeight="1">
      <c r="A198" s="250" t="s">
        <v>1148</v>
      </c>
      <c r="B198" s="944" t="s">
        <v>2</v>
      </c>
      <c r="C198" s="944"/>
      <c r="D198" s="944"/>
      <c r="E198" s="944"/>
      <c r="F198" s="944"/>
      <c r="G198" s="944"/>
      <c r="H198" s="944"/>
      <c r="I198" s="944"/>
      <c r="J198" s="944"/>
      <c r="K198" s="944"/>
      <c r="L198" s="944"/>
      <c r="M198" s="251"/>
      <c r="N198" s="252" t="s">
        <v>1149</v>
      </c>
    </row>
    <row r="199" spans="1:81" ht="14.4" customHeight="1">
      <c r="A199" s="253"/>
      <c r="B199" s="1003" t="str">
        <f>BB200</f>
        <v>Your inflexible needs orient your focus. We each experience this as a psychosocial orientation. Quick estimate your own psychosocial orientation, and see if it predicts your political outlook.</v>
      </c>
      <c r="C199" s="1003"/>
      <c r="D199" s="1003"/>
      <c r="E199" s="1003"/>
      <c r="F199" s="1003"/>
      <c r="G199" s="1003"/>
      <c r="H199" s="1003"/>
      <c r="I199" s="1003"/>
      <c r="J199" s="1003"/>
      <c r="K199" s="1003"/>
      <c r="L199" s="1003"/>
      <c r="M199" s="1003"/>
      <c r="N199" s="254"/>
    </row>
    <row r="200" spans="1:81">
      <c r="A200" s="253"/>
      <c r="B200" s="1003"/>
      <c r="C200" s="1003"/>
      <c r="D200" s="1003"/>
      <c r="E200" s="1003"/>
      <c r="F200" s="1003"/>
      <c r="G200" s="1003"/>
      <c r="H200" s="1003"/>
      <c r="I200" s="1003"/>
      <c r="J200" s="1003"/>
      <c r="K200" s="1003"/>
      <c r="L200" s="1003"/>
      <c r="M200" s="1003"/>
      <c r="N200" s="254"/>
      <c r="BB200" s="37" t="str">
        <f>CONCATENATE(BC201,BC202)</f>
        <v>Your inflexible needs orient your focus. We each experience this as a psychosocial orientation. Quick estimate your own psychosocial orientation, and see if it predicts your political outlook.</v>
      </c>
    </row>
    <row r="201" spans="1:81" ht="14.4" thickBot="1">
      <c r="A201" s="253"/>
      <c r="B201" s="1003"/>
      <c r="C201" s="1003"/>
      <c r="D201" s="1003"/>
      <c r="E201" s="1003"/>
      <c r="F201" s="1003"/>
      <c r="G201" s="1003"/>
      <c r="H201" s="1003"/>
      <c r="I201" s="1003"/>
      <c r="J201" s="1003"/>
      <c r="K201" s="1003"/>
      <c r="L201" s="1003"/>
      <c r="M201" s="1003"/>
      <c r="N201" s="254"/>
      <c r="BC201" s="2" t="s">
        <v>1220</v>
      </c>
    </row>
    <row r="202" spans="1:81" ht="19.95" customHeight="1" thickTop="1">
      <c r="A202" s="253"/>
      <c r="B202" s="28"/>
      <c r="C202" s="28"/>
      <c r="D202" s="1004"/>
      <c r="E202" s="1005"/>
      <c r="F202" s="1005"/>
      <c r="G202" s="1005"/>
      <c r="H202" s="1005"/>
      <c r="I202" s="1005"/>
      <c r="J202" s="1005"/>
      <c r="K202" s="1006"/>
      <c r="L202" s="28"/>
      <c r="M202" s="28"/>
      <c r="N202" s="254"/>
      <c r="BC202" s="2" t="s">
        <v>597</v>
      </c>
    </row>
    <row r="203" spans="1:81" ht="19.95" customHeight="1" thickBot="1">
      <c r="A203" s="253"/>
      <c r="B203" s="28"/>
      <c r="C203" s="28"/>
      <c r="D203" s="1007"/>
      <c r="E203" s="1008"/>
      <c r="F203" s="1008"/>
      <c r="G203" s="1008"/>
      <c r="H203" s="1008"/>
      <c r="I203" s="1008"/>
      <c r="J203" s="1008"/>
      <c r="K203" s="1009"/>
      <c r="L203" s="28"/>
      <c r="M203" s="28"/>
      <c r="N203" s="254"/>
      <c r="BQ203" s="2">
        <f>IF(D202="",0,1)</f>
        <v>0</v>
      </c>
      <c r="BS203" s="139">
        <f>IF(D202=BW203,"1",IF(D202=BW204,"-1",0))</f>
        <v>0</v>
      </c>
      <c r="BT203" s="2" t="str">
        <f>IF(D202=BW203,"DEEP",IF(D202=BW204,"WIDE",""))</f>
        <v/>
      </c>
      <c r="BV203" s="2">
        <v>1</v>
      </c>
      <c r="BW203" s="32" t="s">
        <v>670</v>
      </c>
      <c r="BX203" s="33"/>
      <c r="BY203" s="33"/>
      <c r="BZ203" s="33"/>
      <c r="CA203" s="33"/>
      <c r="CB203" s="33"/>
      <c r="CC203" s="34"/>
    </row>
    <row r="204" spans="1:81" ht="19.95" customHeight="1" thickTop="1">
      <c r="A204" s="253"/>
      <c r="B204" s="28"/>
      <c r="C204" s="28"/>
      <c r="D204" s="1004"/>
      <c r="E204" s="1005"/>
      <c r="F204" s="1005"/>
      <c r="G204" s="1005"/>
      <c r="H204" s="1005"/>
      <c r="I204" s="1005"/>
      <c r="J204" s="1005"/>
      <c r="K204" s="1006"/>
      <c r="L204" s="28"/>
      <c r="M204" s="28"/>
      <c r="N204" s="254"/>
      <c r="BS204" s="139"/>
      <c r="BW204" s="4" t="s">
        <v>671</v>
      </c>
      <c r="BX204" s="5"/>
      <c r="BY204" s="5"/>
      <c r="BZ204" s="5"/>
      <c r="CA204" s="5"/>
      <c r="CB204" s="5"/>
      <c r="CC204" s="6"/>
    </row>
    <row r="205" spans="1:81" ht="19.95" customHeight="1" thickBot="1">
      <c r="A205" s="253"/>
      <c r="B205" s="28"/>
      <c r="C205" s="28"/>
      <c r="D205" s="1007"/>
      <c r="E205" s="1008"/>
      <c r="F205" s="1008"/>
      <c r="G205" s="1008"/>
      <c r="H205" s="1008"/>
      <c r="I205" s="1008"/>
      <c r="J205" s="1008"/>
      <c r="K205" s="1009"/>
      <c r="L205" s="28"/>
      <c r="M205" s="28"/>
      <c r="N205" s="254"/>
      <c r="BQ205" s="2">
        <f>IF(D204="",0,1)</f>
        <v>0</v>
      </c>
      <c r="BS205" s="139">
        <f>IF(D204=BW205,"1",IF(D204=BW206,"-1",0))</f>
        <v>0</v>
      </c>
      <c r="BT205" s="2" t="str">
        <f>IF(D204=BW205,"DEEP",IF(D204=BW206,"WIDE",""))</f>
        <v/>
      </c>
      <c r="BV205" s="2">
        <v>2</v>
      </c>
      <c r="BW205" s="32" t="s">
        <v>654</v>
      </c>
      <c r="BX205" s="33"/>
      <c r="BY205" s="33"/>
      <c r="BZ205" s="33"/>
      <c r="CA205" s="33"/>
      <c r="CB205" s="33"/>
      <c r="CC205" s="34"/>
    </row>
    <row r="206" spans="1:81" ht="19.95" customHeight="1" thickTop="1">
      <c r="A206" s="253"/>
      <c r="B206" s="28"/>
      <c r="C206" s="28"/>
      <c r="D206" s="1004"/>
      <c r="E206" s="1005"/>
      <c r="F206" s="1005"/>
      <c r="G206" s="1005"/>
      <c r="H206" s="1005"/>
      <c r="I206" s="1005"/>
      <c r="J206" s="1005"/>
      <c r="K206" s="1006"/>
      <c r="L206" s="28"/>
      <c r="M206" s="28"/>
      <c r="N206" s="254"/>
      <c r="BS206" s="139"/>
      <c r="BW206" s="4" t="s">
        <v>655</v>
      </c>
      <c r="BX206" s="5"/>
      <c r="BY206" s="5"/>
      <c r="BZ206" s="5"/>
      <c r="CA206" s="5"/>
      <c r="CB206" s="5"/>
      <c r="CC206" s="6"/>
    </row>
    <row r="207" spans="1:81" ht="19.95" customHeight="1" thickBot="1">
      <c r="A207" s="253"/>
      <c r="B207" s="28"/>
      <c r="C207" s="28"/>
      <c r="D207" s="1007"/>
      <c r="E207" s="1008"/>
      <c r="F207" s="1008"/>
      <c r="G207" s="1008"/>
      <c r="H207" s="1008"/>
      <c r="I207" s="1008"/>
      <c r="J207" s="1008"/>
      <c r="K207" s="1009"/>
      <c r="L207" s="28"/>
      <c r="M207" s="28"/>
      <c r="N207" s="254"/>
      <c r="BQ207" s="2">
        <f>IF(D206="",0,1)</f>
        <v>0</v>
      </c>
      <c r="BS207" s="139">
        <f>IF(D206=BW207,"1",IF(D206=BW208,"-1",0))</f>
        <v>0</v>
      </c>
      <c r="BT207" s="2" t="str">
        <f>IF(D206=BW207,"DEEP",IF(D206=BW208,"WIDE",""))</f>
        <v/>
      </c>
      <c r="BV207" s="2">
        <v>3</v>
      </c>
      <c r="BW207" s="32" t="s">
        <v>653</v>
      </c>
      <c r="BX207" s="33"/>
      <c r="BY207" s="33"/>
      <c r="BZ207" s="33"/>
      <c r="CA207" s="33"/>
      <c r="CB207" s="33"/>
      <c r="CC207" s="34"/>
    </row>
    <row r="208" spans="1:81" ht="19.95" customHeight="1" thickTop="1">
      <c r="A208" s="253"/>
      <c r="B208" s="28"/>
      <c r="C208" s="28"/>
      <c r="D208" s="1004"/>
      <c r="E208" s="1005"/>
      <c r="F208" s="1005"/>
      <c r="G208" s="1005"/>
      <c r="H208" s="1005"/>
      <c r="I208" s="1005"/>
      <c r="J208" s="1005"/>
      <c r="K208" s="1006"/>
      <c r="L208" s="28"/>
      <c r="M208" s="28"/>
      <c r="N208" s="254"/>
      <c r="BS208" s="139"/>
      <c r="BW208" s="4" t="s">
        <v>672</v>
      </c>
      <c r="BX208" s="5"/>
      <c r="BY208" s="5"/>
      <c r="BZ208" s="5"/>
      <c r="CA208" s="5"/>
      <c r="CB208" s="5"/>
      <c r="CC208" s="6"/>
    </row>
    <row r="209" spans="1:81" ht="19.95" customHeight="1" thickBot="1">
      <c r="A209" s="253"/>
      <c r="B209" s="28"/>
      <c r="C209" s="28"/>
      <c r="D209" s="1007"/>
      <c r="E209" s="1008"/>
      <c r="F209" s="1008"/>
      <c r="G209" s="1008"/>
      <c r="H209" s="1008"/>
      <c r="I209" s="1008"/>
      <c r="J209" s="1008"/>
      <c r="K209" s="1009"/>
      <c r="L209" s="28"/>
      <c r="M209" s="28"/>
      <c r="N209" s="254"/>
      <c r="BQ209" s="2">
        <f>IF(D208="",0,1)</f>
        <v>0</v>
      </c>
      <c r="BS209" s="139">
        <f>IF(D208=BW209,"1",IF(D208=BW210,"-1",0))</f>
        <v>0</v>
      </c>
      <c r="BT209" s="2" t="str">
        <f>IF(D208=BW209,"DEEP",IF(D208=BW210,"WIDE",""))</f>
        <v/>
      </c>
      <c r="BV209" s="2">
        <v>4</v>
      </c>
      <c r="BW209" s="32" t="s">
        <v>658</v>
      </c>
      <c r="BX209" s="33"/>
      <c r="BY209" s="33"/>
      <c r="BZ209" s="33"/>
      <c r="CA209" s="33"/>
      <c r="CB209" s="33"/>
      <c r="CC209" s="34"/>
    </row>
    <row r="210" spans="1:81" ht="19.95" customHeight="1" thickTop="1">
      <c r="A210" s="253"/>
      <c r="B210" s="28"/>
      <c r="C210" s="28"/>
      <c r="D210" s="1004"/>
      <c r="E210" s="1005"/>
      <c r="F210" s="1005"/>
      <c r="G210" s="1005"/>
      <c r="H210" s="1005"/>
      <c r="I210" s="1005"/>
      <c r="J210" s="1005"/>
      <c r="K210" s="1006"/>
      <c r="L210" s="28"/>
      <c r="M210" s="28"/>
      <c r="N210" s="254"/>
      <c r="BS210" s="139"/>
      <c r="BW210" s="4" t="s">
        <v>659</v>
      </c>
      <c r="BX210" s="5"/>
      <c r="BY210" s="5"/>
      <c r="BZ210" s="5"/>
      <c r="CA210" s="5"/>
      <c r="CB210" s="5"/>
      <c r="CC210" s="6"/>
    </row>
    <row r="211" spans="1:81" ht="19.95" customHeight="1" thickBot="1">
      <c r="A211" s="253"/>
      <c r="B211" s="28"/>
      <c r="C211" s="28"/>
      <c r="D211" s="1007"/>
      <c r="E211" s="1008"/>
      <c r="F211" s="1008"/>
      <c r="G211" s="1008"/>
      <c r="H211" s="1008"/>
      <c r="I211" s="1008"/>
      <c r="J211" s="1008"/>
      <c r="K211" s="1009"/>
      <c r="L211" s="28"/>
      <c r="M211" s="28"/>
      <c r="N211" s="254"/>
      <c r="BB211" s="2">
        <f t="shared" ref="BB211:BB218" si="3">IF($Q$92=BB$92,BE211,IF($Q$92=BB$93,BF211,IF($Q$92=BB$94,BG211,IF($Q$92=BB$95,BH211,IF($Q$92=BB$96,BI211,IF($Q$92=BB$97,BJ211,IF($Q$92=BB$98,BK211,IF($Q$92=BB$99,BL211,""))))))))</f>
        <v>0</v>
      </c>
      <c r="BQ211" s="2">
        <f>IF(D210="",0,1)</f>
        <v>0</v>
      </c>
      <c r="BS211" s="139">
        <f>IF(D210=BW211,"1",IF(D210=BW212,"-1",0))</f>
        <v>0</v>
      </c>
      <c r="BT211" s="2" t="str">
        <f>IF(D210=BW211,"DEEP",IF(D210=BW212,"WIDE",""))</f>
        <v/>
      </c>
      <c r="BV211" s="2">
        <v>5</v>
      </c>
      <c r="BW211" s="32" t="s">
        <v>656</v>
      </c>
      <c r="BX211" s="33"/>
      <c r="BY211" s="33"/>
      <c r="BZ211" s="33"/>
      <c r="CA211" s="33"/>
      <c r="CB211" s="33"/>
      <c r="CC211" s="34"/>
    </row>
    <row r="212" spans="1:81" ht="19.95" customHeight="1" thickTop="1">
      <c r="A212" s="253"/>
      <c r="B212" s="28"/>
      <c r="C212" s="28"/>
      <c r="D212" s="1004"/>
      <c r="E212" s="1005"/>
      <c r="F212" s="1005"/>
      <c r="G212" s="1005"/>
      <c r="H212" s="1005"/>
      <c r="I212" s="1005"/>
      <c r="J212" s="1005"/>
      <c r="K212" s="1006"/>
      <c r="L212" s="28"/>
      <c r="M212" s="28"/>
      <c r="N212" s="254"/>
      <c r="BB212" s="2">
        <f t="shared" si="3"/>
        <v>0</v>
      </c>
      <c r="BS212" s="139"/>
      <c r="BW212" s="4" t="s">
        <v>657</v>
      </c>
      <c r="BX212" s="5"/>
      <c r="BY212" s="5"/>
      <c r="BZ212" s="5"/>
      <c r="CA212" s="5"/>
      <c r="CB212" s="5"/>
      <c r="CC212" s="6"/>
    </row>
    <row r="213" spans="1:81" ht="19.95" customHeight="1" thickBot="1">
      <c r="A213" s="253"/>
      <c r="B213" s="28"/>
      <c r="C213" s="28"/>
      <c r="D213" s="1007"/>
      <c r="E213" s="1008"/>
      <c r="F213" s="1008"/>
      <c r="G213" s="1008"/>
      <c r="H213" s="1008"/>
      <c r="I213" s="1008"/>
      <c r="J213" s="1008"/>
      <c r="K213" s="1009"/>
      <c r="L213" s="28"/>
      <c r="M213" s="28"/>
      <c r="N213" s="254"/>
      <c r="BB213" s="2">
        <f t="shared" si="3"/>
        <v>0</v>
      </c>
      <c r="BQ213" s="2">
        <f>IF(D212="",0,1)</f>
        <v>0</v>
      </c>
      <c r="BS213" s="139">
        <f>IF(D212=BW213,"1",IF(D212=BW214,"-1",0))</f>
        <v>0</v>
      </c>
      <c r="BT213" s="2" t="str">
        <f>IF(D212=BW213,"DEEP",IF(D212=BW214,"WIDE",""))</f>
        <v/>
      </c>
      <c r="BV213" s="2">
        <v>6</v>
      </c>
      <c r="BW213" s="32" t="s">
        <v>660</v>
      </c>
      <c r="BX213" s="33"/>
      <c r="BY213" s="33"/>
      <c r="BZ213" s="33"/>
      <c r="CA213" s="33"/>
      <c r="CB213" s="33"/>
      <c r="CC213" s="34"/>
    </row>
    <row r="214" spans="1:81" ht="19.95" customHeight="1" thickTop="1">
      <c r="A214" s="253"/>
      <c r="B214" s="28"/>
      <c r="C214" s="28"/>
      <c r="D214" s="1004"/>
      <c r="E214" s="1005"/>
      <c r="F214" s="1005"/>
      <c r="G214" s="1005"/>
      <c r="H214" s="1005"/>
      <c r="I214" s="1005"/>
      <c r="J214" s="1005"/>
      <c r="K214" s="1006"/>
      <c r="L214" s="28"/>
      <c r="M214" s="28"/>
      <c r="N214" s="254"/>
      <c r="BB214" s="2">
        <f t="shared" si="3"/>
        <v>0</v>
      </c>
      <c r="BS214" s="139"/>
      <c r="BW214" s="4" t="s">
        <v>661</v>
      </c>
      <c r="BX214" s="5"/>
      <c r="BY214" s="5"/>
      <c r="BZ214" s="5"/>
      <c r="CA214" s="5"/>
      <c r="CB214" s="5"/>
      <c r="CC214" s="6"/>
    </row>
    <row r="215" spans="1:81" ht="19.95" customHeight="1" thickBot="1">
      <c r="A215" s="253"/>
      <c r="B215" s="28"/>
      <c r="C215" s="28"/>
      <c r="D215" s="1007"/>
      <c r="E215" s="1008"/>
      <c r="F215" s="1008"/>
      <c r="G215" s="1008"/>
      <c r="H215" s="1008"/>
      <c r="I215" s="1008"/>
      <c r="J215" s="1008"/>
      <c r="K215" s="1009"/>
      <c r="L215" s="28"/>
      <c r="M215" s="28"/>
      <c r="N215" s="254"/>
      <c r="BB215" s="2">
        <f t="shared" si="3"/>
        <v>0</v>
      </c>
      <c r="BQ215" s="2">
        <f>IF(D214="",0,1)</f>
        <v>0</v>
      </c>
      <c r="BS215" s="139">
        <f>IF(D214=BW215,"1",IF(D214=BW216,"-1",0))</f>
        <v>0</v>
      </c>
      <c r="BT215" s="2" t="str">
        <f>IF(D214=BW215,"DEEP",IF(D214=BW216,"WIDE",""))</f>
        <v/>
      </c>
      <c r="BV215" s="2">
        <v>7</v>
      </c>
      <c r="BW215" s="32" t="s">
        <v>662</v>
      </c>
      <c r="BX215" s="33"/>
      <c r="BY215" s="33"/>
      <c r="BZ215" s="33"/>
      <c r="CA215" s="33"/>
      <c r="CB215" s="33"/>
      <c r="CC215" s="34"/>
    </row>
    <row r="216" spans="1:81" ht="19.95" customHeight="1" thickTop="1">
      <c r="A216" s="253"/>
      <c r="B216" s="28"/>
      <c r="C216" s="28"/>
      <c r="D216" s="1004"/>
      <c r="E216" s="1005"/>
      <c r="F216" s="1005"/>
      <c r="G216" s="1005"/>
      <c r="H216" s="1005"/>
      <c r="I216" s="1005"/>
      <c r="J216" s="1005"/>
      <c r="K216" s="1006"/>
      <c r="L216" s="28"/>
      <c r="M216" s="28"/>
      <c r="N216" s="254"/>
      <c r="BB216" s="2">
        <f t="shared" si="3"/>
        <v>0</v>
      </c>
      <c r="BS216" s="139"/>
      <c r="BW216" s="4" t="s">
        <v>663</v>
      </c>
      <c r="BX216" s="5"/>
      <c r="BY216" s="5"/>
      <c r="BZ216" s="5"/>
      <c r="CA216" s="5"/>
      <c r="CB216" s="5"/>
      <c r="CC216" s="6"/>
    </row>
    <row r="217" spans="1:81" ht="19.95" customHeight="1" thickBot="1">
      <c r="A217" s="253"/>
      <c r="B217" s="28"/>
      <c r="C217" s="28"/>
      <c r="D217" s="1007"/>
      <c r="E217" s="1008"/>
      <c r="F217" s="1008"/>
      <c r="G217" s="1008"/>
      <c r="H217" s="1008"/>
      <c r="I217" s="1008"/>
      <c r="J217" s="1008"/>
      <c r="K217" s="1009"/>
      <c r="L217" s="28"/>
      <c r="M217" s="28"/>
      <c r="N217" s="254"/>
      <c r="BB217" s="2">
        <f t="shared" si="3"/>
        <v>0</v>
      </c>
      <c r="BQ217" s="2">
        <f>IF(D216="",0,1)</f>
        <v>0</v>
      </c>
      <c r="BS217" s="139">
        <f>IF(D216=BW217,"1",IF(D216=BW218,"-1",0))</f>
        <v>0</v>
      </c>
      <c r="BT217" s="2" t="str">
        <f>IF(D216=BW217,"DEEP",IF(D216=BW218,"WIDE",""))</f>
        <v/>
      </c>
      <c r="BV217" s="2">
        <v>8</v>
      </c>
      <c r="BW217" s="32" t="s">
        <v>664</v>
      </c>
      <c r="BX217" s="33"/>
      <c r="BY217" s="33"/>
      <c r="BZ217" s="33"/>
      <c r="CA217" s="33"/>
      <c r="CB217" s="33"/>
      <c r="CC217" s="34"/>
    </row>
    <row r="218" spans="1:81" ht="19.95" customHeight="1" thickTop="1">
      <c r="A218" s="253"/>
      <c r="B218" s="28"/>
      <c r="C218" s="28"/>
      <c r="D218" s="1004"/>
      <c r="E218" s="1005"/>
      <c r="F218" s="1005"/>
      <c r="G218" s="1005"/>
      <c r="H218" s="1005"/>
      <c r="I218" s="1005"/>
      <c r="J218" s="1005"/>
      <c r="K218" s="1006"/>
      <c r="L218" s="28"/>
      <c r="M218" s="28"/>
      <c r="N218" s="254"/>
      <c r="BB218" s="2">
        <f t="shared" si="3"/>
        <v>0</v>
      </c>
      <c r="BS218" s="139"/>
      <c r="BW218" s="4" t="s">
        <v>665</v>
      </c>
      <c r="BX218" s="5"/>
      <c r="BY218" s="5"/>
      <c r="BZ218" s="5"/>
      <c r="CA218" s="5"/>
      <c r="CB218" s="5"/>
      <c r="CC218" s="6"/>
    </row>
    <row r="219" spans="1:81" ht="19.95" customHeight="1" thickBot="1">
      <c r="A219" s="253"/>
      <c r="B219" s="28"/>
      <c r="C219" s="28"/>
      <c r="D219" s="1007"/>
      <c r="E219" s="1008"/>
      <c r="F219" s="1008"/>
      <c r="G219" s="1008"/>
      <c r="H219" s="1008"/>
      <c r="I219" s="1008"/>
      <c r="J219" s="1008"/>
      <c r="K219" s="1009"/>
      <c r="L219" s="28"/>
      <c r="M219" s="28"/>
      <c r="N219" s="254"/>
      <c r="BQ219" s="2">
        <f>IF(D218="",0,1)</f>
        <v>0</v>
      </c>
      <c r="BS219" s="139">
        <f>IF(D218=BW219,"1",IF(D218=BW220,"-1",0))</f>
        <v>0</v>
      </c>
      <c r="BT219" s="2" t="str">
        <f>IF(D218=BW219,"DEEP",IF(D218=BW220,"WIDE",""))</f>
        <v/>
      </c>
      <c r="BV219" s="2">
        <v>9</v>
      </c>
      <c r="BW219" s="32" t="s">
        <v>666</v>
      </c>
      <c r="BX219" s="33"/>
      <c r="BY219" s="33"/>
      <c r="BZ219" s="33"/>
      <c r="CA219" s="33"/>
      <c r="CB219" s="33"/>
      <c r="CC219" s="34"/>
    </row>
    <row r="220" spans="1:81" ht="19.95" customHeight="1" thickTop="1">
      <c r="A220" s="253"/>
      <c r="B220" s="28"/>
      <c r="C220" s="28"/>
      <c r="D220" s="1004"/>
      <c r="E220" s="1005"/>
      <c r="F220" s="1005"/>
      <c r="G220" s="1005"/>
      <c r="H220" s="1005"/>
      <c r="I220" s="1005"/>
      <c r="J220" s="1005"/>
      <c r="K220" s="1006"/>
      <c r="L220" s="28"/>
      <c r="M220" s="28"/>
      <c r="N220" s="254"/>
      <c r="BS220" s="139"/>
      <c r="BW220" s="4" t="s">
        <v>667</v>
      </c>
      <c r="BX220" s="5"/>
      <c r="BY220" s="5"/>
      <c r="BZ220" s="5"/>
      <c r="CA220" s="5"/>
      <c r="CB220" s="5"/>
      <c r="CC220" s="6"/>
    </row>
    <row r="221" spans="1:81" ht="19.95" customHeight="1" thickBot="1">
      <c r="A221" s="253"/>
      <c r="B221" s="28"/>
      <c r="C221" s="28"/>
      <c r="D221" s="1007"/>
      <c r="E221" s="1008"/>
      <c r="F221" s="1008"/>
      <c r="G221" s="1008"/>
      <c r="H221" s="1008"/>
      <c r="I221" s="1008"/>
      <c r="J221" s="1008"/>
      <c r="K221" s="1009"/>
      <c r="L221" s="28"/>
      <c r="M221" s="28"/>
      <c r="N221" s="254"/>
      <c r="BQ221" s="2">
        <f>IF(D220="",0,1)</f>
        <v>0</v>
      </c>
      <c r="BS221" s="139">
        <f>IF(D220=BW221,"1",IF(D220=BW222,"-1",0))</f>
        <v>0</v>
      </c>
      <c r="BT221" s="2" t="str">
        <f>IF(D220=BW221,"DEEP",IF(D220=BW222,"WIDE",""))</f>
        <v/>
      </c>
      <c r="BV221" s="2">
        <v>10</v>
      </c>
      <c r="BW221" s="32" t="s">
        <v>669</v>
      </c>
      <c r="BX221" s="33"/>
      <c r="BY221" s="33"/>
      <c r="BZ221" s="33"/>
      <c r="CA221" s="33"/>
      <c r="CB221" s="33"/>
      <c r="CC221" s="34"/>
    </row>
    <row r="222" spans="1:81" ht="14.4" thickTop="1">
      <c r="A222" s="253"/>
      <c r="B222" s="28"/>
      <c r="C222" s="28"/>
      <c r="D222" s="28"/>
      <c r="E222" s="28"/>
      <c r="F222" s="28"/>
      <c r="G222" s="28"/>
      <c r="H222" s="322"/>
      <c r="I222" s="28"/>
      <c r="J222" s="28"/>
      <c r="K222" s="28"/>
      <c r="L222" s="28"/>
      <c r="M222" s="28"/>
      <c r="N222" s="254"/>
      <c r="BW222" s="4" t="s">
        <v>668</v>
      </c>
      <c r="BX222" s="5"/>
      <c r="BY222" s="5"/>
      <c r="BZ222" s="5"/>
      <c r="CA222" s="5"/>
      <c r="CB222" s="5"/>
      <c r="CC222" s="6"/>
    </row>
    <row r="223" spans="1:81">
      <c r="A223" s="253"/>
      <c r="B223" s="28"/>
      <c r="C223" s="988" t="str">
        <f>IF(BQ224&lt;10,BT231,BT228)</f>
        <v>Fill in each of these 10 blank fields above. Then check back here to find your estimated PSYCHOSOCIAL ORIENTATION. We all have one, shaped by our prioritizing needs. Then shaping our political views. What's yours?</v>
      </c>
      <c r="D223" s="988"/>
      <c r="E223" s="988"/>
      <c r="F223" s="988"/>
      <c r="G223" s="988"/>
      <c r="H223" s="988"/>
      <c r="I223" s="988"/>
      <c r="J223" s="988"/>
      <c r="K223" s="988"/>
      <c r="L223" s="988"/>
      <c r="M223" s="28"/>
      <c r="N223" s="254"/>
      <c r="BS223" s="138"/>
      <c r="BW223" s="141" t="s">
        <v>690</v>
      </c>
      <c r="BX223" s="141" t="s">
        <v>691</v>
      </c>
      <c r="BY223" s="141" t="s">
        <v>688</v>
      </c>
      <c r="BZ223" s="141" t="s">
        <v>689</v>
      </c>
      <c r="CA223" s="141" t="s">
        <v>692</v>
      </c>
      <c r="CB223" s="141" t="s">
        <v>687</v>
      </c>
    </row>
    <row r="224" spans="1:81">
      <c r="A224" s="253"/>
      <c r="B224" s="28"/>
      <c r="C224" s="988"/>
      <c r="D224" s="988"/>
      <c r="E224" s="988"/>
      <c r="F224" s="988"/>
      <c r="G224" s="988"/>
      <c r="H224" s="988"/>
      <c r="I224" s="988"/>
      <c r="J224" s="988"/>
      <c r="K224" s="988"/>
      <c r="L224" s="988"/>
      <c r="M224" s="28"/>
      <c r="N224" s="254"/>
      <c r="BQ224" s="2">
        <f>SUM(BQ203:BQ223)</f>
        <v>0</v>
      </c>
      <c r="BS224" s="140">
        <f>BS203+BS205+BS207+BS209+BS211+BS213+BS215+BS217+BS219+BS221</f>
        <v>0</v>
      </c>
      <c r="BT224" s="37" t="str">
        <f>IF(AND(BS224&gt;=BW226,BS224&lt;BW227),BW224,IF(AND(BS224&gt;=BX226,BS224&lt;BX227),BX224,IF(AND(BS224&gt;=BY226,BS224&lt;BY227),BY224,IF(AND(BS224&gt;=BZ226,BS224&lt;BZ227),BZ224,IF(AND(BS224&gt;=CA226,BS224&lt;CA227),CA224,IF(AND(BS224&gt;=CB226,BS224&lt;=CB227),CB224,""))))))</f>
        <v>DEEP-AND-WIDE</v>
      </c>
      <c r="BW224" s="2" t="s">
        <v>675</v>
      </c>
      <c r="BX224" s="2" t="s">
        <v>676</v>
      </c>
      <c r="BY224" s="2" t="s">
        <v>683</v>
      </c>
      <c r="BZ224" s="2" t="s">
        <v>684</v>
      </c>
      <c r="CA224" s="2" t="s">
        <v>677</v>
      </c>
      <c r="CB224" s="2" t="s">
        <v>678</v>
      </c>
    </row>
    <row r="225" spans="1:81">
      <c r="A225" s="253"/>
      <c r="B225" s="28"/>
      <c r="C225" s="988"/>
      <c r="D225" s="988"/>
      <c r="E225" s="988"/>
      <c r="F225" s="988"/>
      <c r="G225" s="988"/>
      <c r="H225" s="988"/>
      <c r="I225" s="988"/>
      <c r="J225" s="988"/>
      <c r="K225" s="988"/>
      <c r="L225" s="988"/>
      <c r="M225" s="28"/>
      <c r="N225" s="254"/>
      <c r="BT225" s="144" t="str">
        <f>IF(BT224=BW224,BW225,IF(BT224=BX224,BX225,IF(BT224=BY224,BY225,IF(BT224=BZ224,BZ225,IF(BT224=CA224,CA225,IF(BT224=CB224,CB225,""))))))</f>
        <v>CENTRIST CONSERVATIVE</v>
      </c>
      <c r="BW225" s="2" t="s">
        <v>685</v>
      </c>
      <c r="BX225" s="2" t="s">
        <v>679</v>
      </c>
      <c r="BY225" s="2" t="s">
        <v>680</v>
      </c>
      <c r="BZ225" s="2" t="s">
        <v>681</v>
      </c>
      <c r="CA225" s="2" t="s">
        <v>682</v>
      </c>
      <c r="CB225" s="2" t="s">
        <v>686</v>
      </c>
    </row>
    <row r="226" spans="1:81">
      <c r="A226" s="253"/>
      <c r="B226" s="28"/>
      <c r="C226" s="988"/>
      <c r="D226" s="988"/>
      <c r="E226" s="988"/>
      <c r="F226" s="988"/>
      <c r="G226" s="988"/>
      <c r="H226" s="988"/>
      <c r="I226" s="988"/>
      <c r="J226" s="988"/>
      <c r="K226" s="988"/>
      <c r="L226" s="988"/>
      <c r="M226" s="28"/>
      <c r="N226" s="254"/>
      <c r="BW226" s="139">
        <v>-10</v>
      </c>
      <c r="BX226" s="139">
        <v>-9</v>
      </c>
      <c r="BY226" s="139">
        <v>-4</v>
      </c>
      <c r="BZ226" s="139">
        <v>0</v>
      </c>
      <c r="CA226" s="139">
        <v>4</v>
      </c>
      <c r="CB226" s="139">
        <v>9</v>
      </c>
      <c r="CC226" s="139"/>
    </row>
    <row r="227" spans="1:81">
      <c r="A227" s="253"/>
      <c r="B227" s="28"/>
      <c r="C227" s="988"/>
      <c r="D227" s="988"/>
      <c r="E227" s="988"/>
      <c r="F227" s="988"/>
      <c r="G227" s="988"/>
      <c r="H227" s="988"/>
      <c r="I227" s="988"/>
      <c r="J227" s="988"/>
      <c r="K227" s="988"/>
      <c r="L227" s="988"/>
      <c r="M227" s="28"/>
      <c r="N227" s="254"/>
      <c r="BW227" s="139">
        <f>BX226</f>
        <v>-9</v>
      </c>
      <c r="BX227" s="139">
        <f>BY226</f>
        <v>-4</v>
      </c>
      <c r="BY227" s="139">
        <f>BZ226</f>
        <v>0</v>
      </c>
      <c r="BZ227" s="139">
        <f>CA226</f>
        <v>4</v>
      </c>
      <c r="CA227" s="139">
        <f>CB226</f>
        <v>9</v>
      </c>
      <c r="CB227" s="139">
        <v>10</v>
      </c>
      <c r="CC227" s="139"/>
    </row>
    <row r="228" spans="1:81">
      <c r="A228" s="253"/>
      <c r="B228" s="1020" t="str">
        <f>IF(BQ224&lt;10,BT232,BT229)</f>
        <v>You likely find the most comfort for your publicly affected needs among other like-minded partisans and ideologues. Together, you oppose those of a different political outlook. Because they prioritize a clashing set of needs than yours. Your prioritized needs keep you different from their outlook, not reasoned arguments. But stubborn needs.</v>
      </c>
      <c r="C228" s="1020"/>
      <c r="D228" s="1020"/>
      <c r="E228" s="1020"/>
      <c r="F228" s="1020"/>
      <c r="G228" s="1020"/>
      <c r="H228" s="1020"/>
      <c r="I228" s="1020"/>
      <c r="J228" s="1020"/>
      <c r="K228" s="1020"/>
      <c r="L228" s="1020"/>
      <c r="M228" s="1020"/>
      <c r="N228" s="254"/>
      <c r="BT228" s="2" t="str">
        <f>CONCATENATE(BW228,BX228,BY228,BZ228,CA228)</f>
        <v xml:space="preserve">Your responses indicate you have a DEEP-AND-WIDE psychosocial orientation. You likely express it best with CENTRIST CONSERVATIVE views. Your political outlook outwardly expresses your inward psychosocial orientation. </v>
      </c>
      <c r="BW228" s="2" t="s">
        <v>693</v>
      </c>
      <c r="BX228" s="2" t="str">
        <f>BT224</f>
        <v>DEEP-AND-WIDE</v>
      </c>
      <c r="BY228" s="139" t="s">
        <v>694</v>
      </c>
      <c r="BZ228" s="139" t="str">
        <f>BT225</f>
        <v>CENTRIST CONSERVATIVE</v>
      </c>
      <c r="CA228" s="139" t="s">
        <v>698</v>
      </c>
      <c r="CB228" s="139"/>
      <c r="CC228" s="139"/>
    </row>
    <row r="229" spans="1:81">
      <c r="A229" s="253"/>
      <c r="B229" s="1020"/>
      <c r="C229" s="1020"/>
      <c r="D229" s="1020"/>
      <c r="E229" s="1020"/>
      <c r="F229" s="1020"/>
      <c r="G229" s="1020"/>
      <c r="H229" s="1020"/>
      <c r="I229" s="1020"/>
      <c r="J229" s="1020"/>
      <c r="K229" s="1020"/>
      <c r="L229" s="1020"/>
      <c r="M229" s="1020"/>
      <c r="N229" s="254"/>
      <c r="BT229" s="2" t="str">
        <f>CONCATENATE(BW229,BX229,BY229)</f>
        <v>You likely find the most comfort for your publicly affected needs among other like-minded CENTRIST CONSERVATIVES. Together, you oppose those of a different political outlook. Because they prioritize a clashing set of needs than yours. Your prioritized needs keep you different from their outlook, not reasoned arguments. But stubborn needs.</v>
      </c>
      <c r="BW229" s="2" t="s">
        <v>695</v>
      </c>
      <c r="BX229" s="2" t="str">
        <f>BT225</f>
        <v>CENTRIST CONSERVATIVE</v>
      </c>
      <c r="BY229" s="2" t="s">
        <v>715</v>
      </c>
    </row>
    <row r="230" spans="1:81">
      <c r="A230" s="253"/>
      <c r="B230" s="1020"/>
      <c r="C230" s="1020"/>
      <c r="D230" s="1020"/>
      <c r="E230" s="1020"/>
      <c r="F230" s="1020"/>
      <c r="G230" s="1020"/>
      <c r="H230" s="1020"/>
      <c r="I230" s="1020"/>
      <c r="J230" s="1020"/>
      <c r="K230" s="1020"/>
      <c r="L230" s="1020"/>
      <c r="M230" s="1020"/>
      <c r="N230" s="254"/>
    </row>
    <row r="231" spans="1:81">
      <c r="A231" s="253"/>
      <c r="B231" s="1020"/>
      <c r="C231" s="1020"/>
      <c r="D231" s="1020"/>
      <c r="E231" s="1020"/>
      <c r="F231" s="1020"/>
      <c r="G231" s="1020"/>
      <c r="H231" s="1020"/>
      <c r="I231" s="1020"/>
      <c r="J231" s="1020"/>
      <c r="K231" s="1020"/>
      <c r="L231" s="1020"/>
      <c r="M231" s="1020"/>
      <c r="N231" s="254"/>
      <c r="BT231" s="2" t="s">
        <v>696</v>
      </c>
    </row>
    <row r="232" spans="1:81">
      <c r="A232" s="253"/>
      <c r="B232" s="1020"/>
      <c r="C232" s="1020"/>
      <c r="D232" s="1020"/>
      <c r="E232" s="1020"/>
      <c r="F232" s="1020"/>
      <c r="G232" s="1020"/>
      <c r="H232" s="1020"/>
      <c r="I232" s="1020"/>
      <c r="J232" s="1020"/>
      <c r="K232" s="1020"/>
      <c r="L232" s="1020"/>
      <c r="M232" s="1020"/>
      <c r="N232" s="254"/>
      <c r="BT232" s="142" t="s">
        <v>697</v>
      </c>
    </row>
    <row r="233" spans="1:81">
      <c r="A233" s="253"/>
      <c r="B233" s="1020"/>
      <c r="C233" s="1020"/>
      <c r="D233" s="1020"/>
      <c r="E233" s="1020"/>
      <c r="F233" s="1020"/>
      <c r="G233" s="1020"/>
      <c r="H233" s="1020"/>
      <c r="I233" s="1020"/>
      <c r="J233" s="1020"/>
      <c r="K233" s="1020"/>
      <c r="L233" s="1020"/>
      <c r="M233" s="1020"/>
      <c r="N233" s="254"/>
    </row>
    <row r="234" spans="1:81">
      <c r="A234" s="253"/>
      <c r="B234" s="1020"/>
      <c r="C234" s="1020"/>
      <c r="D234" s="1020"/>
      <c r="E234" s="1020"/>
      <c r="F234" s="1020"/>
      <c r="G234" s="1020"/>
      <c r="H234" s="1020"/>
      <c r="I234" s="1020"/>
      <c r="J234" s="1020"/>
      <c r="K234" s="1020"/>
      <c r="L234" s="1020"/>
      <c r="M234" s="1020"/>
      <c r="N234" s="254"/>
      <c r="BP234" s="2" t="s">
        <v>43</v>
      </c>
      <c r="BR234" s="2" t="s">
        <v>49</v>
      </c>
    </row>
    <row r="235" spans="1:81">
      <c r="A235" s="255"/>
      <c r="B235" s="256"/>
      <c r="C235" s="256"/>
      <c r="D235" s="256"/>
      <c r="E235" s="256"/>
      <c r="F235" s="256"/>
      <c r="G235" s="256"/>
      <c r="H235" s="323"/>
      <c r="I235" s="256"/>
      <c r="J235" s="256"/>
      <c r="K235" s="256"/>
      <c r="L235" s="256"/>
      <c r="M235" s="256"/>
      <c r="N235" s="257"/>
      <c r="BP235" s="2" t="s">
        <v>44</v>
      </c>
      <c r="BR235" s="2" t="s">
        <v>50</v>
      </c>
    </row>
    <row r="236" spans="1:81" ht="30" customHeight="1">
      <c r="A236" s="271" t="s">
        <v>1148</v>
      </c>
      <c r="B236" s="1218" t="s">
        <v>1153</v>
      </c>
      <c r="C236" s="1218"/>
      <c r="D236" s="1218"/>
      <c r="E236" s="1218"/>
      <c r="F236" s="1218"/>
      <c r="G236" s="1218"/>
      <c r="H236" s="1218"/>
      <c r="I236" s="1218"/>
      <c r="J236" s="1218"/>
      <c r="K236" s="1218"/>
      <c r="L236" s="1218"/>
      <c r="M236" s="272"/>
      <c r="N236" s="273" t="s">
        <v>1149</v>
      </c>
      <c r="BT236" s="2" t="s">
        <v>699</v>
      </c>
      <c r="BW236" s="2" t="s">
        <v>713</v>
      </c>
    </row>
    <row r="237" spans="1:81">
      <c r="A237" s="274"/>
      <c r="B237" s="29"/>
      <c r="C237" s="29"/>
      <c r="D237" s="29"/>
      <c r="E237" s="29"/>
      <c r="F237" s="29"/>
      <c r="G237" s="29"/>
      <c r="H237" s="318"/>
      <c r="I237" s="29"/>
      <c r="J237" s="29"/>
      <c r="K237" s="29"/>
      <c r="L237" s="29"/>
      <c r="M237" s="29"/>
      <c r="N237" s="275"/>
      <c r="BT237" s="2" t="s">
        <v>700</v>
      </c>
    </row>
    <row r="238" spans="1:81" ht="14.4" customHeight="1">
      <c r="A238" s="274"/>
      <c r="B238" s="29"/>
      <c r="C238" s="29"/>
      <c r="D238" s="29"/>
      <c r="E238" s="29"/>
      <c r="F238" s="29"/>
      <c r="G238" s="29"/>
      <c r="H238" s="318"/>
      <c r="I238" s="29"/>
      <c r="J238" s="29"/>
      <c r="K238" s="29"/>
      <c r="L238" s="29"/>
      <c r="M238" s="29"/>
      <c r="N238" s="275"/>
      <c r="BT238" s="2" t="s">
        <v>701</v>
      </c>
    </row>
    <row r="239" spans="1:81">
      <c r="A239" s="274"/>
      <c r="B239" s="29"/>
      <c r="C239" s="29"/>
      <c r="D239" s="29"/>
      <c r="E239" s="29"/>
      <c r="F239" s="29"/>
      <c r="G239" s="29"/>
      <c r="H239" s="318"/>
      <c r="I239" s="29"/>
      <c r="J239" s="29"/>
      <c r="K239" s="29"/>
      <c r="L239" s="29"/>
      <c r="M239" s="29"/>
      <c r="N239" s="275"/>
      <c r="BT239" s="2" t="s">
        <v>702</v>
      </c>
    </row>
    <row r="240" spans="1:81">
      <c r="A240" s="274"/>
      <c r="B240" s="29"/>
      <c r="C240" s="29"/>
      <c r="D240" s="29"/>
      <c r="E240" s="29"/>
      <c r="F240" s="29"/>
      <c r="G240" s="29"/>
      <c r="H240" s="318"/>
      <c r="I240" s="29"/>
      <c r="J240" s="29"/>
      <c r="K240" s="29"/>
      <c r="L240" s="29"/>
      <c r="M240" s="29"/>
      <c r="N240" s="275"/>
      <c r="BT240" s="2" t="s">
        <v>703</v>
      </c>
    </row>
    <row r="241" spans="1:78" ht="15.6" customHeight="1">
      <c r="A241" s="274"/>
      <c r="B241" s="1229" t="s">
        <v>744</v>
      </c>
      <c r="C241" s="1229"/>
      <c r="D241" s="1229"/>
      <c r="E241" s="1229"/>
      <c r="F241" s="1229"/>
      <c r="G241" s="1229"/>
      <c r="H241" s="1229"/>
      <c r="I241" s="1229"/>
      <c r="J241" s="1229"/>
      <c r="K241" s="1229"/>
      <c r="L241" s="1229"/>
      <c r="M241" s="1229"/>
      <c r="N241" s="275"/>
    </row>
    <row r="242" spans="1:78" ht="19.95" customHeight="1">
      <c r="A242" s="274"/>
      <c r="B242" s="1229"/>
      <c r="C242" s="1229"/>
      <c r="D242" s="1229"/>
      <c r="E242" s="1229"/>
      <c r="F242" s="1229"/>
      <c r="G242" s="1229"/>
      <c r="H242" s="1229"/>
      <c r="I242" s="1229"/>
      <c r="J242" s="1229"/>
      <c r="K242" s="1229"/>
      <c r="L242" s="1229"/>
      <c r="M242" s="1229"/>
      <c r="N242" s="275"/>
      <c r="BT242" s="2" t="str">
        <f>CONCATENATE(BW242,BX242,BY242,BZ242)</f>
        <v>MERIT ENTRY - "We can offer amnesty to children born to illegal migrant parents after they show merit."</v>
      </c>
      <c r="BV242" s="47" t="s">
        <v>3</v>
      </c>
      <c r="BW242" s="2" t="str">
        <f>IF($BT$224=BV$224,BE$167,IF($BT$224=BW$224,BE$168,IF($BT$224=BX$224,BE$169,IF($BT$224=BY$224,BE$170,IF($BT$224=BZ$224,BE$172,IF($BT$224=CA$224,BE$173,""))))))</f>
        <v>MERIT ENTRY</v>
      </c>
      <c r="BX242" s="47" t="s">
        <v>724</v>
      </c>
      <c r="BY242" s="2" t="str">
        <f>IF($BT$224=BW$224,BE$175,IF($BT$224=BX$224,BE$176,IF($BT$224=BY$224,BE$177,IF($BT$224=BZ$224,BE$178,IF($BT$224=CA$224,BE$179,IF($BT$224=CB$224,BE$180,""))))))</f>
        <v>We can offer amnesty to children born to illegal migrant parents after they show merit</v>
      </c>
      <c r="BZ242" s="2" t="s">
        <v>723</v>
      </c>
    </row>
    <row r="243" spans="1:78" ht="19.95" customHeight="1" thickBot="1">
      <c r="A243" s="274"/>
      <c r="B243" s="1229"/>
      <c r="C243" s="1229"/>
      <c r="D243" s="1229"/>
      <c r="E243" s="1229"/>
      <c r="F243" s="1229"/>
      <c r="G243" s="1229"/>
      <c r="H243" s="1229"/>
      <c r="I243" s="1229"/>
      <c r="J243" s="1229"/>
      <c r="K243" s="1229"/>
      <c r="L243" s="1229"/>
      <c r="M243" s="1229"/>
      <c r="N243" s="275"/>
      <c r="BU243" s="2">
        <f>IF($H244=$BT$236,BW$269,IF($H244=$BT$237,BX$269,IF($H244=$BT$238,BY$269,IF($H244=$BT$239,BZ$269,IF($H$1=$BT$240,CA$269,0)))))</f>
        <v>0</v>
      </c>
    </row>
    <row r="244" spans="1:78" ht="19.95" customHeight="1" thickBot="1">
      <c r="A244" s="274"/>
      <c r="B244" s="143" t="s">
        <v>704</v>
      </c>
      <c r="C244" s="29"/>
      <c r="D244" s="29"/>
      <c r="E244" s="29"/>
      <c r="F244" s="29"/>
      <c r="G244" s="29"/>
      <c r="H244" s="1022"/>
      <c r="I244" s="1023"/>
      <c r="J244" s="1023"/>
      <c r="K244" s="1023"/>
      <c r="L244" s="1023"/>
      <c r="M244" s="1024"/>
      <c r="N244" s="275"/>
    </row>
    <row r="245" spans="1:78" ht="19.95" customHeight="1">
      <c r="A245" s="274"/>
      <c r="B245" s="1021" t="str">
        <f>IF($BQ$224&lt;10,$BW$236,BT242)</f>
        <v>COMPLETE THE ITEMS ABOVE TO SEE RESULTS HERE.</v>
      </c>
      <c r="C245" s="1021"/>
      <c r="D245" s="1021"/>
      <c r="E245" s="1021"/>
      <c r="F245" s="1021"/>
      <c r="G245" s="1021"/>
      <c r="H245" s="1021"/>
      <c r="I245" s="1021"/>
      <c r="J245" s="1021"/>
      <c r="K245" s="1021"/>
      <c r="L245" s="1021"/>
      <c r="M245" s="1021"/>
      <c r="N245" s="275"/>
      <c r="BT245" s="2" t="str">
        <f>CONCATENATE(BW245,BX245,BY245,BZ245)</f>
        <v>LEFTIST  ALARMIST HOAX - "We admit it is possible human activity contributes to some climate change, but trust nature to correct it."</v>
      </c>
      <c r="BV245" s="47" t="s">
        <v>3</v>
      </c>
      <c r="BW245" s="2" t="str">
        <f>IF($BT$224=BV$224,BF$167,IF($BT$224=BW$224,BF$168,IF($BT$224=BX$224,BF$169,IF($BT$224=BY$224,BF$170,IF($BT$224=BZ$224,BF$172,IF($BT$224=CA$224,BF$173,""))))))</f>
        <v>LEFTIST  ALARMIST HOAX</v>
      </c>
      <c r="BX245" s="47" t="s">
        <v>724</v>
      </c>
      <c r="BY245" s="2" t="str">
        <f>IF($BT$224=BW$224,BF$175,IF($BT$224=BX$224,BF$176,IF($BT$224=BY$224,BF$177,IF($BT$224=BZ$224,BF$178,IF($BT$224=CA$224,BF$179,IF($BT$224=CB$224,BF$180,""))))))</f>
        <v>We admit it is possible human activity contributes to some climate change, but trust nature to correct it</v>
      </c>
      <c r="BZ245" s="2" t="s">
        <v>723</v>
      </c>
    </row>
    <row r="246" spans="1:78" ht="19.95" customHeight="1" thickBot="1">
      <c r="A246" s="274"/>
      <c r="B246" s="1021"/>
      <c r="C246" s="1021"/>
      <c r="D246" s="1021"/>
      <c r="E246" s="1021"/>
      <c r="F246" s="1021"/>
      <c r="G246" s="1021"/>
      <c r="H246" s="1021"/>
      <c r="I246" s="1021"/>
      <c r="J246" s="1021"/>
      <c r="K246" s="1021"/>
      <c r="L246" s="1021"/>
      <c r="M246" s="1021"/>
      <c r="N246" s="275"/>
      <c r="BU246" s="2">
        <f>IF($H247=$BT$236,BW$269,IF($H247=$BT$237,BX$269,IF($H247=$BT$238,BY$269,IF($H247=$BT$239,BZ$269,IF($H$1=$BT$240,CA$269,0)))))</f>
        <v>0</v>
      </c>
    </row>
    <row r="247" spans="1:78" ht="19.95" customHeight="1" thickBot="1">
      <c r="A247" s="274"/>
      <c r="B247" s="143" t="s">
        <v>707</v>
      </c>
      <c r="C247" s="145"/>
      <c r="D247" s="145"/>
      <c r="E247" s="145"/>
      <c r="F247" s="145"/>
      <c r="G247" s="145"/>
      <c r="H247" s="1022"/>
      <c r="I247" s="1023"/>
      <c r="J247" s="1023"/>
      <c r="K247" s="1023"/>
      <c r="L247" s="1023"/>
      <c r="M247" s="1024"/>
      <c r="N247" s="275"/>
    </row>
    <row r="248" spans="1:78" ht="19.95" customHeight="1">
      <c r="A248" s="274"/>
      <c r="B248" s="1021" t="str">
        <f>IF($BQ$224&lt;10,$BW$236,BT245)</f>
        <v>COMPLETE THE ITEMS ABOVE TO SEE RESULTS HERE.</v>
      </c>
      <c r="C248" s="1021"/>
      <c r="D248" s="1021"/>
      <c r="E248" s="1021"/>
      <c r="F248" s="1021"/>
      <c r="G248" s="1021"/>
      <c r="H248" s="1021"/>
      <c r="I248" s="1021"/>
      <c r="J248" s="1021"/>
      <c r="K248" s="1021"/>
      <c r="L248" s="1021"/>
      <c r="M248" s="1021"/>
      <c r="N248" s="275"/>
      <c r="BT248" s="2" t="str">
        <f>CONCATENATE(BW248,BX248,BY248,BZ248)</f>
        <v>UNRESTRICTED  GUN RIGHTS - "We need to protect gun rights by dealing with the few individuals most irresponsible with guns."</v>
      </c>
      <c r="BV248" s="47" t="s">
        <v>3</v>
      </c>
      <c r="BW248" s="2" t="str">
        <f>IF($BT$224=BV$224,BG$167,IF($BT$224=BW$224,BG$168,IF($BT$224=BX$224,BG$169,IF($BT$224=BY$224,BG$170,IF($BT$224=BZ$224,BG$172,IF($BT$224=CA$224,BG$173,""))))))</f>
        <v>UNRESTRICTED  GUN RIGHTS</v>
      </c>
      <c r="BX248" s="47" t="s">
        <v>724</v>
      </c>
      <c r="BY248" s="2" t="str">
        <f>IF($BT$224=BW$224,BG$175,IF($BT$224=BX$224,BG$176,IF($BT$224=BY$224,BG$177,IF($BT$224=BZ$224,BG$178,IF($BT$224=CA$224,BG$179,IF($BT$224=CB$224,BG$180,""))))))</f>
        <v>We need to protect gun rights by dealing with the few individuals most irresponsible with guns</v>
      </c>
      <c r="BZ248" s="2" t="s">
        <v>723</v>
      </c>
    </row>
    <row r="249" spans="1:78" ht="19.95" customHeight="1" thickBot="1">
      <c r="A249" s="274"/>
      <c r="B249" s="1021"/>
      <c r="C249" s="1021"/>
      <c r="D249" s="1021"/>
      <c r="E249" s="1021"/>
      <c r="F249" s="1021"/>
      <c r="G249" s="1021"/>
      <c r="H249" s="1021"/>
      <c r="I249" s="1021"/>
      <c r="J249" s="1021"/>
      <c r="K249" s="1021"/>
      <c r="L249" s="1021"/>
      <c r="M249" s="1021"/>
      <c r="N249" s="275"/>
      <c r="BU249" s="2">
        <f>IF($H250=$BT$236,BW$269,IF($H250=$BT$237,BX$269,IF($H250=$BT$238,BY$269,IF($H250=$BT$239,BZ$269,IF($H$1=$BT$240,CA$269,0)))))</f>
        <v>0</v>
      </c>
    </row>
    <row r="250" spans="1:78" ht="19.95" customHeight="1" thickBot="1">
      <c r="A250" s="274"/>
      <c r="B250" s="143" t="s">
        <v>712</v>
      </c>
      <c r="C250" s="145"/>
      <c r="D250" s="145"/>
      <c r="E250" s="145"/>
      <c r="F250" s="145"/>
      <c r="G250" s="145"/>
      <c r="H250" s="1022"/>
      <c r="I250" s="1023"/>
      <c r="J250" s="1023"/>
      <c r="K250" s="1023"/>
      <c r="L250" s="1023"/>
      <c r="M250" s="1024"/>
      <c r="N250" s="275"/>
    </row>
    <row r="251" spans="1:78" ht="19.95" customHeight="1">
      <c r="A251" s="274"/>
      <c r="B251" s="1021" t="str">
        <f>IF($BQ$224&lt;10,$BW$236,BT248)</f>
        <v>COMPLETE THE ITEMS ABOVE TO SEE RESULTS HERE.</v>
      </c>
      <c r="C251" s="1021"/>
      <c r="D251" s="1021"/>
      <c r="E251" s="1021"/>
      <c r="F251" s="1021"/>
      <c r="G251" s="1021"/>
      <c r="H251" s="1021"/>
      <c r="I251" s="1021"/>
      <c r="J251" s="1021"/>
      <c r="K251" s="1021"/>
      <c r="L251" s="1021"/>
      <c r="M251" s="1021"/>
      <c r="N251" s="275"/>
      <c r="BT251" s="2" t="str">
        <f>CONCATENATE(BW251,BX251,BY251,BZ251)</f>
        <v>ONLY IF LIFE OF MOTHER AT RISK - "We need to protect the unborn by allowing only rare exceptions like in cases of rape and incest."</v>
      </c>
      <c r="BV251" s="47" t="s">
        <v>3</v>
      </c>
      <c r="BW251" s="2" t="str">
        <f>IF($BT$224=BV$224,APE$167,IF($BT$224=BW$224,BH$168,IF($BT$224=BX$224,BH$169,IF($BT$224=BY$224,BH$170,IF($BT$224=BZ$224,BH$172,IF($BT$224=CA$224,BH$173,""))))))</f>
        <v>ONLY IF LIFE OF MOTHER AT RISK</v>
      </c>
      <c r="BX251" s="47" t="s">
        <v>724</v>
      </c>
      <c r="BY251" s="2" t="str">
        <f>IF($BT$224=BW$224,BH$175,IF($BT$224=BX$224,BH$176,IF($BT$224=BY$224,BH$177,IF($BT$224=BZ$224,BH$178,IF($BT$224=CA$224,BH$179,IF($BT$224=CB$224,BH$180,""))))))</f>
        <v>We need to protect the unborn by allowing only rare exceptions like in cases of rape and incest</v>
      </c>
      <c r="BZ251" s="2" t="s">
        <v>723</v>
      </c>
    </row>
    <row r="252" spans="1:78" ht="19.95" customHeight="1" thickBot="1">
      <c r="A252" s="274"/>
      <c r="B252" s="1021"/>
      <c r="C252" s="1021"/>
      <c r="D252" s="1021"/>
      <c r="E252" s="1021"/>
      <c r="F252" s="1021"/>
      <c r="G252" s="1021"/>
      <c r="H252" s="1021"/>
      <c r="I252" s="1021"/>
      <c r="J252" s="1021"/>
      <c r="K252" s="1021"/>
      <c r="L252" s="1021"/>
      <c r="M252" s="1021"/>
      <c r="N252" s="275"/>
      <c r="BU252" s="2">
        <f>IF($H253=$BT$236,BW$269,IF($H253=$BT$237,BX$269,IF($H253=$BT$238,BY$269,IF($H253=$BT$239,BZ$269,IF($H$1=$BT$240,CA$269,0)))))</f>
        <v>0</v>
      </c>
    </row>
    <row r="253" spans="1:78" ht="19.95" customHeight="1" thickBot="1">
      <c r="A253" s="274"/>
      <c r="B253" s="143" t="s">
        <v>711</v>
      </c>
      <c r="C253" s="145"/>
      <c r="D253" s="145"/>
      <c r="E253" s="145"/>
      <c r="F253" s="145"/>
      <c r="G253" s="145"/>
      <c r="H253" s="1022"/>
      <c r="I253" s="1023"/>
      <c r="J253" s="1023"/>
      <c r="K253" s="1023"/>
      <c r="L253" s="1023"/>
      <c r="M253" s="1024"/>
      <c r="N253" s="275"/>
    </row>
    <row r="254" spans="1:78" ht="19.95" customHeight="1">
      <c r="A254" s="274"/>
      <c r="B254" s="1021" t="str">
        <f>IF($BQ$224&lt;10,$BW$236,BT251)</f>
        <v>COMPLETE THE ITEMS ABOVE TO SEE RESULTS HERE.</v>
      </c>
      <c r="C254" s="1021"/>
      <c r="D254" s="1021"/>
      <c r="E254" s="1021"/>
      <c r="F254" s="1021"/>
      <c r="G254" s="1021"/>
      <c r="H254" s="1021"/>
      <c r="I254" s="1021"/>
      <c r="J254" s="1021"/>
      <c r="K254" s="1021"/>
      <c r="L254" s="1021"/>
      <c r="M254" s="1021"/>
      <c r="N254" s="275"/>
      <c r="BT254" s="2" t="str">
        <f>CONCATENATE(BW254,BX254,BY254,BZ254)</f>
        <v>PRIVATE INSURANCE - "We need to replace Obama-Care with a national or state level health exchange providing better choices."</v>
      </c>
      <c r="BV254" s="47" t="s">
        <v>3</v>
      </c>
      <c r="BW254" s="2" t="str">
        <f>IF($BT$224=BV$224,BI$167,IF($BT$224=BW$224,BI$168,IF($BT$224=BX$224,BI$169,IF($BT$224=BY$224,BI$170,IF($BT$224=BZ$224,BI$172,IF($BT$224=CA$224,BI$173,""))))))</f>
        <v>PRIVATE INSURANCE</v>
      </c>
      <c r="BX254" s="47" t="s">
        <v>724</v>
      </c>
      <c r="BY254" s="2" t="str">
        <f>IF($BT$224=BW$224,BI$175,IF($BT$224=BX$224,BI$176,IF($BT$224=BY$224,BI$177,IF($BT$224=BZ$224,BI$178,IF($BT$224=CA$224,BI$179,IF($BT$224=CB$224,BI$180,""))))))</f>
        <v>We need to replace Obama-Care with a national or state level health exchange providing better choices</v>
      </c>
      <c r="BZ254" s="2" t="s">
        <v>723</v>
      </c>
    </row>
    <row r="255" spans="1:78" ht="19.95" customHeight="1" thickBot="1">
      <c r="A255" s="274"/>
      <c r="B255" s="1021"/>
      <c r="C255" s="1021"/>
      <c r="D255" s="1021"/>
      <c r="E255" s="1021"/>
      <c r="F255" s="1021"/>
      <c r="G255" s="1021"/>
      <c r="H255" s="1021"/>
      <c r="I255" s="1021"/>
      <c r="J255" s="1021"/>
      <c r="K255" s="1021"/>
      <c r="L255" s="1021"/>
      <c r="M255" s="1021"/>
      <c r="N255" s="275"/>
      <c r="BU255" s="2">
        <f>IF($H256=$BT$236,BW$269,IF($H256=$BT$237,BX$269,IF($H256=$BT$238,BY$269,IF($H256=$BT$239,BZ$269,IF($H$1=$BT$240,CA$269,0)))))</f>
        <v>0</v>
      </c>
    </row>
    <row r="256" spans="1:78" ht="19.95" customHeight="1" thickBot="1">
      <c r="A256" s="274"/>
      <c r="B256" s="143" t="s">
        <v>710</v>
      </c>
      <c r="C256" s="145"/>
      <c r="D256" s="145"/>
      <c r="E256" s="145"/>
      <c r="F256" s="145"/>
      <c r="G256" s="145"/>
      <c r="H256" s="1022"/>
      <c r="I256" s="1023"/>
      <c r="J256" s="1023"/>
      <c r="K256" s="1023"/>
      <c r="L256" s="1023"/>
      <c r="M256" s="1024"/>
      <c r="N256" s="275"/>
    </row>
    <row r="257" spans="1:79" ht="19.95" customHeight="1">
      <c r="A257" s="274"/>
      <c r="B257" s="1021" t="str">
        <f>IF($BQ$224&lt;10,$BW$236,BT254)</f>
        <v>COMPLETE THE ITEMS ABOVE TO SEE RESULTS HERE.</v>
      </c>
      <c r="C257" s="1021"/>
      <c r="D257" s="1021"/>
      <c r="E257" s="1021"/>
      <c r="F257" s="1021"/>
      <c r="G257" s="1021"/>
      <c r="H257" s="1021"/>
      <c r="I257" s="1021"/>
      <c r="J257" s="1021"/>
      <c r="K257" s="1021"/>
      <c r="L257" s="1021"/>
      <c r="M257" s="1021"/>
      <c r="N257" s="275"/>
      <c r="BT257" s="2" t="str">
        <f>CONCATENATE(BW257,BX257,BY257,BZ257)</f>
        <v>MAKE AMERICA SAFE AGAIN - "We need to keep our communities safe by enabling individuals released from custody to better succeed."</v>
      </c>
      <c r="BV257" s="47" t="s">
        <v>3</v>
      </c>
      <c r="BW257" s="2" t="str">
        <f>IF($BT$224=BV$224,BJ$167,IF($BT$224=BW$224,BJ$168,IF($BT$224=BX$224,BJ$169,IF($BT$224=BY$224,BJ$170,IF($BT$224=BZ$224,BJ$172,IF($BT$224=CA$224,BJ$173,""))))))</f>
        <v>MAKE AMERICA SAFE AGAIN</v>
      </c>
      <c r="BX257" s="47" t="s">
        <v>724</v>
      </c>
      <c r="BY257" s="2" t="str">
        <f>IF($BT$224=BW$224,BJ$175,IF($BT$224=BX$224,BJ$176,IF($BT$224=BY$224,BJ$177,IF($BT$224=BZ$224,BJ$178,IF($BT$224=CA$224,BJ$179,IF($BT$224=CB$224,BJ$180,""))))))</f>
        <v>We need to keep our communities safe by enabling individuals released from custody to better succeed</v>
      </c>
      <c r="BZ257" s="2" t="s">
        <v>723</v>
      </c>
    </row>
    <row r="258" spans="1:79" ht="19.95" customHeight="1" thickBot="1">
      <c r="A258" s="274"/>
      <c r="B258" s="1021"/>
      <c r="C258" s="1021"/>
      <c r="D258" s="1021"/>
      <c r="E258" s="1021"/>
      <c r="F258" s="1021"/>
      <c r="G258" s="1021"/>
      <c r="H258" s="1021"/>
      <c r="I258" s="1021"/>
      <c r="J258" s="1021"/>
      <c r="K258" s="1021"/>
      <c r="L258" s="1021"/>
      <c r="M258" s="1021"/>
      <c r="N258" s="275"/>
      <c r="BU258" s="2">
        <f>IF($H259=$BT$236,BW$269,IF($H259=$BT$237,BX$269,IF($H259=$BT$238,BY$269,IF($H259=$BT$239,BZ$269,IF($H$1=$BT$240,CA$269,0)))))</f>
        <v>0</v>
      </c>
    </row>
    <row r="259" spans="1:79" ht="19.95" customHeight="1" thickBot="1">
      <c r="A259" s="274"/>
      <c r="B259" s="143" t="s">
        <v>705</v>
      </c>
      <c r="C259" s="145"/>
      <c r="D259" s="145"/>
      <c r="E259" s="145"/>
      <c r="F259" s="145"/>
      <c r="G259" s="145"/>
      <c r="H259" s="1022"/>
      <c r="I259" s="1023"/>
      <c r="J259" s="1023"/>
      <c r="K259" s="1023"/>
      <c r="L259" s="1023"/>
      <c r="M259" s="1024"/>
      <c r="N259" s="275"/>
    </row>
    <row r="260" spans="1:79" ht="19.95" customHeight="1">
      <c r="A260" s="274"/>
      <c r="B260" s="1021" t="str">
        <f>IF($BQ$224&lt;10,$BW$236,BT257)</f>
        <v>COMPLETE THE ITEMS ABOVE TO SEE RESULTS HERE.</v>
      </c>
      <c r="C260" s="1021"/>
      <c r="D260" s="1021"/>
      <c r="E260" s="1021"/>
      <c r="F260" s="1021"/>
      <c r="G260" s="1021"/>
      <c r="H260" s="1021"/>
      <c r="I260" s="1021"/>
      <c r="J260" s="1021"/>
      <c r="K260" s="1021"/>
      <c r="L260" s="1021"/>
      <c r="M260" s="1021"/>
      <c r="N260" s="275"/>
      <c r="BT260" s="2" t="str">
        <f>CONCATENATE(BW260,BX260,BY260,BZ260)</f>
        <v>LAISSEZ FAIRE MARKET - "We need a free market to produce the goods and services we all need, with minimal state regulation to keep markets fair for all."</v>
      </c>
      <c r="BV260" s="47" t="s">
        <v>3</v>
      </c>
      <c r="BW260" s="2" t="str">
        <f>IF($BT$224=BV$224,ASE$167,IF($BT$224=BW$224,BK$168,IF($BT$224=BX$224,BK$169,IF($BT$224=BY$224,BK$170,IF($BT$224=BZ$224,BK$172,IF($BT$224=CA$224,BK$173,""))))))</f>
        <v>LAISSEZ FAIRE MARKET</v>
      </c>
      <c r="BX260" s="47" t="s">
        <v>724</v>
      </c>
      <c r="BY260" s="2" t="str">
        <f>IF($BT$224=BW$224,BK$175,IF($BT$224=BX$224,BK$176,IF($BT$224=BY$224,BK$177,IF($BT$224=BZ$224,BK$178,IF($BT$224=CA$224,BK$179,IF($BT$224=CB$224,BK$180,""))))))</f>
        <v>We need a free market to produce the goods and services we all need, with minimal state regulation to keep markets fair for all</v>
      </c>
      <c r="BZ260" s="2" t="s">
        <v>723</v>
      </c>
    </row>
    <row r="261" spans="1:79" ht="19.95" customHeight="1" thickBot="1">
      <c r="A261" s="274"/>
      <c r="B261" s="1021"/>
      <c r="C261" s="1021"/>
      <c r="D261" s="1021"/>
      <c r="E261" s="1021"/>
      <c r="F261" s="1021"/>
      <c r="G261" s="1021"/>
      <c r="H261" s="1021"/>
      <c r="I261" s="1021"/>
      <c r="J261" s="1021"/>
      <c r="K261" s="1021"/>
      <c r="L261" s="1021"/>
      <c r="M261" s="1021"/>
      <c r="N261" s="275"/>
      <c r="BU261" s="2">
        <f>IF($H262=$BT$236,BW$269,IF($H262=$BT$237,BX$269,IF($H262=$BT$238,BY$269,IF($H262=$BT$239,BZ$269,IF($H$1=$BT$240,CA$269,0)))))</f>
        <v>0</v>
      </c>
    </row>
    <row r="262" spans="1:79" ht="19.95" customHeight="1" thickBot="1">
      <c r="A262" s="274"/>
      <c r="B262" s="143" t="s">
        <v>709</v>
      </c>
      <c r="C262" s="145"/>
      <c r="D262" s="145"/>
      <c r="E262" s="145"/>
      <c r="F262" s="145"/>
      <c r="G262" s="145"/>
      <c r="H262" s="1022"/>
      <c r="I262" s="1023"/>
      <c r="J262" s="1023"/>
      <c r="K262" s="1023"/>
      <c r="L262" s="1023"/>
      <c r="M262" s="1024"/>
      <c r="N262" s="275"/>
    </row>
    <row r="263" spans="1:79" ht="19.95" customHeight="1">
      <c r="A263" s="274"/>
      <c r="B263" s="1021" t="str">
        <f>IF($BQ$224&lt;10,$BW$236,BT260)</f>
        <v>COMPLETE THE ITEMS ABOVE TO SEE RESULTS HERE.</v>
      </c>
      <c r="C263" s="1021"/>
      <c r="D263" s="1021"/>
      <c r="E263" s="1021"/>
      <c r="F263" s="1021"/>
      <c r="G263" s="1021"/>
      <c r="H263" s="1021"/>
      <c r="I263" s="1021"/>
      <c r="J263" s="1021"/>
      <c r="K263" s="1021"/>
      <c r="L263" s="1021"/>
      <c r="M263" s="1021"/>
      <c r="N263" s="275"/>
      <c r="BT263" s="2" t="str">
        <f>CONCATENATE(BW263,BX263,BY263,BZ263)</f>
        <v>PERSONAL YET RARE - "We need to celebrate the vast improvements in racial relationships and focus less on a past we cannot change."</v>
      </c>
      <c r="BV263" s="47" t="s">
        <v>3</v>
      </c>
      <c r="BW263" s="2" t="str">
        <f>IF($BT$224=BV$224,BL$167,IF($BT$224=BW$224,BL$168,IF($BT$224=BX$224,BL$169,IF($BT$224=BY$224,BL$170,IF($BT$224=BZ$224,BL$172,IF($BT$224=CA$224,BL$173,""))))))</f>
        <v>PERSONAL YET RARE</v>
      </c>
      <c r="BX263" s="47" t="s">
        <v>724</v>
      </c>
      <c r="BY263" s="2" t="str">
        <f>IF($BT$224=BW$224,BL$175,IF($BT$224=BX$224,BL$176,IF($BT$224=BY$224,BL$177,IF($BT$224=BZ$224,BL$178,IF($BT$224=CA$224,BL$179,IF($BT$224=CB$224,BL$180,""))))))</f>
        <v>We need to celebrate the vast improvements in racial relationships and focus less on a past we cannot change</v>
      </c>
      <c r="BZ263" s="2" t="s">
        <v>723</v>
      </c>
    </row>
    <row r="264" spans="1:79" ht="19.95" customHeight="1" thickBot="1">
      <c r="A264" s="274"/>
      <c r="B264" s="1021"/>
      <c r="C264" s="1021"/>
      <c r="D264" s="1021"/>
      <c r="E264" s="1021"/>
      <c r="F264" s="1021"/>
      <c r="G264" s="1021"/>
      <c r="H264" s="1021"/>
      <c r="I264" s="1021"/>
      <c r="J264" s="1021"/>
      <c r="K264" s="1021"/>
      <c r="L264" s="1021"/>
      <c r="M264" s="1021"/>
      <c r="N264" s="275"/>
      <c r="BU264" s="2">
        <f>IF($H265=$BT$236,BW$269,IF($H265=$BT$237,BX$269,IF($H265=$BT$238,BY$269,IF($H265=$BT$239,BZ$269,IF($H$1=$BT$240,CA$269,0)))))</f>
        <v>0</v>
      </c>
    </row>
    <row r="265" spans="1:79" ht="19.95" customHeight="1" thickBot="1">
      <c r="A265" s="274"/>
      <c r="B265" s="143" t="s">
        <v>708</v>
      </c>
      <c r="C265" s="145"/>
      <c r="D265" s="145"/>
      <c r="E265" s="145"/>
      <c r="F265" s="145"/>
      <c r="G265" s="145"/>
      <c r="H265" s="1022"/>
      <c r="I265" s="1023"/>
      <c r="J265" s="1023"/>
      <c r="K265" s="1023"/>
      <c r="L265" s="1023"/>
      <c r="M265" s="1024"/>
      <c r="N265" s="275"/>
    </row>
    <row r="266" spans="1:79" ht="19.95" customHeight="1">
      <c r="A266" s="274"/>
      <c r="B266" s="1021" t="str">
        <f>IF($BQ$224&lt;10,$BW$236,BT263)</f>
        <v>COMPLETE THE ITEMS ABOVE TO SEE RESULTS HERE.</v>
      </c>
      <c r="C266" s="1021"/>
      <c r="D266" s="1021"/>
      <c r="E266" s="1021"/>
      <c r="F266" s="1021"/>
      <c r="G266" s="1021"/>
      <c r="H266" s="1021"/>
      <c r="I266" s="1021"/>
      <c r="J266" s="1021"/>
      <c r="K266" s="1021"/>
      <c r="L266" s="1021"/>
      <c r="M266" s="1021"/>
      <c r="N266" s="275"/>
      <c r="BT266" s="2" t="str">
        <f>CONCATENATE(BW266,BX266,BY266)</f>
        <v xml:space="preserve">You show insignificant correlation between your estimated psychosocial orientation and political views. </v>
      </c>
      <c r="BV266" s="47"/>
      <c r="BW266" s="2" t="s">
        <v>722</v>
      </c>
      <c r="BX266" s="2" t="str">
        <f>IF(AND(BU268&gt;=CA270,BU268&lt;CA269),CA268,IF(AND(BU268&gt;=BZ270,BU268&lt;BZ269),BZ268,IF(AND(BU268&gt;=BY270,BU268&lt;BY269),BY268,IF(AND(BU268&gt;=BX270,BU268&lt;BX269),BX268,IF(AND(BU268&gt;=BW270,BU268&lt;=BW269),BW268,"")))))</f>
        <v>insignificant</v>
      </c>
      <c r="BY266" s="2" t="s">
        <v>752</v>
      </c>
    </row>
    <row r="267" spans="1:79" ht="19.95" customHeight="1">
      <c r="A267" s="274"/>
      <c r="B267" s="1021"/>
      <c r="C267" s="1021"/>
      <c r="D267" s="1021"/>
      <c r="E267" s="1021"/>
      <c r="F267" s="1021"/>
      <c r="G267" s="1021"/>
      <c r="H267" s="1021"/>
      <c r="I267" s="1021"/>
      <c r="J267" s="1021"/>
      <c r="K267" s="1021"/>
      <c r="L267" s="1021"/>
      <c r="M267" s="1021"/>
      <c r="N267" s="275"/>
    </row>
    <row r="268" spans="1:79" ht="19.95" customHeight="1">
      <c r="A268" s="274"/>
      <c r="B268" s="1228" t="str">
        <f>IF($H$265="","","+")</f>
        <v/>
      </c>
      <c r="C268" s="1227" t="str">
        <f>IF(H265="","ANSWER ALL ITEMS ABOVE TO SEE RESULTS HERE.",BT266)</f>
        <v>ANSWER ALL ITEMS ABOVE TO SEE RESULTS HERE.</v>
      </c>
      <c r="D268" s="1227"/>
      <c r="E268" s="1227"/>
      <c r="F268" s="1227"/>
      <c r="G268" s="1227"/>
      <c r="H268" s="1227"/>
      <c r="I268" s="1227"/>
      <c r="J268" s="1227"/>
      <c r="K268" s="1227"/>
      <c r="L268" s="1227"/>
      <c r="M268" s="1228" t="str">
        <f>IF($H$265="","","+")</f>
        <v/>
      </c>
      <c r="N268" s="275"/>
      <c r="BU268" s="2">
        <f>(BU243+BU246+BU249+BU252+BU255+BU258+BU261+BU264)/8</f>
        <v>0</v>
      </c>
      <c r="BW268" s="2" t="s">
        <v>717</v>
      </c>
      <c r="BX268" s="2" t="s">
        <v>718</v>
      </c>
      <c r="BY268" s="2" t="s">
        <v>719</v>
      </c>
      <c r="BZ268" s="2" t="s">
        <v>720</v>
      </c>
      <c r="CA268" s="2" t="s">
        <v>721</v>
      </c>
    </row>
    <row r="269" spans="1:79" ht="15" customHeight="1">
      <c r="A269" s="274"/>
      <c r="B269" s="1228"/>
      <c r="C269" s="1227"/>
      <c r="D269" s="1227"/>
      <c r="E269" s="1227"/>
      <c r="F269" s="1227"/>
      <c r="G269" s="1227"/>
      <c r="H269" s="1227"/>
      <c r="I269" s="1227"/>
      <c r="J269" s="1227"/>
      <c r="K269" s="1227"/>
      <c r="L269" s="1227"/>
      <c r="M269" s="1228"/>
      <c r="N269" s="275"/>
      <c r="BV269" s="47" t="s">
        <v>3</v>
      </c>
      <c r="BW269" s="139">
        <v>1</v>
      </c>
      <c r="BX269" s="139">
        <v>0.8</v>
      </c>
      <c r="BY269" s="139">
        <v>0.6</v>
      </c>
      <c r="BZ269" s="139">
        <v>0.4</v>
      </c>
      <c r="CA269" s="139">
        <v>0.2</v>
      </c>
    </row>
    <row r="270" spans="1:79" ht="15" customHeight="1">
      <c r="A270" s="274"/>
      <c r="B270" s="1228"/>
      <c r="C270" s="1227"/>
      <c r="D270" s="1227"/>
      <c r="E270" s="1227"/>
      <c r="F270" s="1227"/>
      <c r="G270" s="1227"/>
      <c r="H270" s="1227"/>
      <c r="I270" s="1227"/>
      <c r="J270" s="1227"/>
      <c r="K270" s="1227"/>
      <c r="L270" s="1227"/>
      <c r="M270" s="1228"/>
      <c r="N270" s="275"/>
      <c r="BW270" s="139">
        <f>BX269</f>
        <v>0.8</v>
      </c>
      <c r="BX270" s="139">
        <f>BY269</f>
        <v>0.6</v>
      </c>
      <c r="BY270" s="139">
        <f>BZ269</f>
        <v>0.4</v>
      </c>
      <c r="BZ270" s="139">
        <f>CA269</f>
        <v>0.2</v>
      </c>
      <c r="CA270" s="139">
        <v>0</v>
      </c>
    </row>
    <row r="271" spans="1:79" ht="4.95" customHeight="1">
      <c r="A271" s="276"/>
      <c r="B271" s="279"/>
      <c r="C271" s="279"/>
      <c r="D271" s="279"/>
      <c r="E271" s="279"/>
      <c r="F271" s="279"/>
      <c r="G271" s="279"/>
      <c r="H271" s="328"/>
      <c r="I271" s="279"/>
      <c r="J271" s="279"/>
      <c r="K271" s="279"/>
      <c r="L271" s="279"/>
      <c r="M271" s="279"/>
      <c r="N271" s="278"/>
      <c r="BW271" s="139"/>
      <c r="BX271" s="139"/>
      <c r="BY271" s="139"/>
      <c r="BZ271" s="139"/>
      <c r="CA271" s="139"/>
    </row>
    <row r="272" spans="1:79" ht="30" customHeight="1">
      <c r="A272" s="271" t="s">
        <v>1148</v>
      </c>
      <c r="B272" s="1218" t="s">
        <v>640</v>
      </c>
      <c r="C272" s="1218"/>
      <c r="D272" s="1218"/>
      <c r="E272" s="1218"/>
      <c r="F272" s="1218"/>
      <c r="G272" s="1218"/>
      <c r="H272" s="1218"/>
      <c r="I272" s="1218"/>
      <c r="J272" s="1218"/>
      <c r="K272" s="1218"/>
      <c r="L272" s="1218"/>
      <c r="M272" s="272"/>
      <c r="N272" s="273" t="s">
        <v>1149</v>
      </c>
    </row>
    <row r="273" spans="1:74">
      <c r="A273" s="274"/>
      <c r="B273" s="29"/>
      <c r="C273" s="29"/>
      <c r="D273" s="29"/>
      <c r="E273" s="29"/>
      <c r="F273" s="29"/>
      <c r="G273" s="29"/>
      <c r="H273" s="318"/>
      <c r="I273" s="29"/>
      <c r="J273" s="29"/>
      <c r="K273" s="29"/>
      <c r="L273" s="29"/>
      <c r="M273" s="29"/>
      <c r="N273" s="275"/>
      <c r="BT273" s="2" t="str">
        <f>CONCATENATE(BW273,BX273)</f>
        <v/>
      </c>
      <c r="BV273" s="47" t="s">
        <v>3</v>
      </c>
    </row>
    <row r="274" spans="1:74">
      <c r="A274" s="274"/>
      <c r="B274" s="29"/>
      <c r="C274" s="29"/>
      <c r="D274" s="29"/>
      <c r="E274" s="29"/>
      <c r="F274" s="29"/>
      <c r="G274" s="29"/>
      <c r="H274" s="318"/>
      <c r="I274" s="29"/>
      <c r="J274" s="29"/>
      <c r="K274" s="29"/>
      <c r="L274" s="29"/>
      <c r="M274" s="29"/>
      <c r="N274" s="275"/>
    </row>
    <row r="275" spans="1:74">
      <c r="A275" s="274"/>
      <c r="B275" s="29"/>
      <c r="C275" s="29"/>
      <c r="D275" s="29"/>
      <c r="E275" s="29"/>
      <c r="F275" s="29"/>
      <c r="G275" s="29"/>
      <c r="H275" s="318"/>
      <c r="I275" s="29"/>
      <c r="J275" s="29"/>
      <c r="K275" s="29"/>
      <c r="L275" s="29"/>
      <c r="M275" s="29"/>
      <c r="N275" s="275"/>
    </row>
    <row r="276" spans="1:74">
      <c r="A276" s="274"/>
      <c r="B276" s="29"/>
      <c r="C276" s="29"/>
      <c r="D276" s="29"/>
      <c r="E276" s="29"/>
      <c r="F276" s="29"/>
      <c r="G276" s="29"/>
      <c r="H276" s="318"/>
      <c r="I276" s="29"/>
      <c r="J276" s="29"/>
      <c r="K276" s="29"/>
      <c r="L276" s="29"/>
      <c r="M276" s="29"/>
      <c r="N276" s="275"/>
      <c r="BT276" s="2" t="str">
        <f>CONCATENATE(BW276,BX276)</f>
        <v/>
      </c>
      <c r="BV276" s="47" t="s">
        <v>3</v>
      </c>
    </row>
    <row r="277" spans="1:74">
      <c r="A277" s="274"/>
      <c r="B277" s="29"/>
      <c r="C277" s="29"/>
      <c r="D277" s="29"/>
      <c r="E277" s="29"/>
      <c r="F277" s="29"/>
      <c r="G277" s="29"/>
      <c r="H277" s="318"/>
      <c r="I277" s="29"/>
      <c r="J277" s="29"/>
      <c r="K277" s="29"/>
      <c r="L277" s="29"/>
      <c r="M277" s="29"/>
      <c r="N277" s="275"/>
    </row>
    <row r="278" spans="1:74">
      <c r="A278" s="274"/>
      <c r="B278" s="29"/>
      <c r="C278" s="29"/>
      <c r="D278" s="29"/>
      <c r="E278" s="29"/>
      <c r="F278" s="29"/>
      <c r="G278" s="29"/>
      <c r="H278" s="318"/>
      <c r="I278" s="29"/>
      <c r="J278" s="29"/>
      <c r="K278" s="29"/>
      <c r="L278" s="29"/>
      <c r="M278" s="29"/>
      <c r="N278" s="275"/>
    </row>
    <row r="279" spans="1:74">
      <c r="A279" s="274"/>
      <c r="B279" s="29"/>
      <c r="C279" s="29"/>
      <c r="D279" s="29"/>
      <c r="E279" s="29"/>
      <c r="F279" s="29"/>
      <c r="G279" s="29"/>
      <c r="H279" s="318"/>
      <c r="I279" s="29"/>
      <c r="J279" s="29"/>
      <c r="K279" s="29"/>
      <c r="L279" s="29"/>
      <c r="M279" s="29"/>
      <c r="N279" s="275"/>
      <c r="BV279" s="47" t="s">
        <v>3</v>
      </c>
    </row>
    <row r="280" spans="1:74">
      <c r="A280" s="274"/>
      <c r="B280" s="29"/>
      <c r="C280" s="29"/>
      <c r="D280" s="29"/>
      <c r="E280" s="29"/>
      <c r="F280" s="29"/>
      <c r="G280" s="29"/>
      <c r="H280" s="318"/>
      <c r="I280" s="29"/>
      <c r="J280" s="29"/>
      <c r="K280" s="29"/>
      <c r="L280" s="29"/>
      <c r="M280" s="29"/>
      <c r="N280" s="275"/>
    </row>
    <row r="281" spans="1:74">
      <c r="A281" s="274"/>
      <c r="B281" s="29"/>
      <c r="C281" s="29"/>
      <c r="D281" s="29"/>
      <c r="E281" s="29"/>
      <c r="F281" s="29"/>
      <c r="G281" s="29"/>
      <c r="H281" s="318"/>
      <c r="I281" s="29"/>
      <c r="J281" s="29"/>
      <c r="K281" s="29"/>
      <c r="L281" s="29"/>
      <c r="M281" s="29"/>
      <c r="N281" s="275"/>
    </row>
    <row r="282" spans="1:74">
      <c r="A282" s="274"/>
      <c r="B282" s="29"/>
      <c r="C282" s="29"/>
      <c r="D282" s="29"/>
      <c r="E282" s="29"/>
      <c r="F282" s="29"/>
      <c r="G282" s="29"/>
      <c r="H282" s="318"/>
      <c r="I282" s="29"/>
      <c r="J282" s="29"/>
      <c r="K282" s="29"/>
      <c r="L282" s="29"/>
      <c r="M282" s="29"/>
      <c r="N282" s="275"/>
      <c r="BV282" s="47" t="s">
        <v>3</v>
      </c>
    </row>
    <row r="283" spans="1:74">
      <c r="A283" s="274"/>
      <c r="B283" s="29"/>
      <c r="C283" s="29"/>
      <c r="D283" s="29"/>
      <c r="E283" s="29"/>
      <c r="F283" s="29"/>
      <c r="G283" s="29"/>
      <c r="H283" s="318"/>
      <c r="I283" s="29"/>
      <c r="J283" s="29"/>
      <c r="K283" s="29"/>
      <c r="L283" s="29"/>
      <c r="M283" s="29"/>
      <c r="N283" s="275"/>
    </row>
    <row r="284" spans="1:74">
      <c r="A284" s="274"/>
      <c r="B284" s="29"/>
      <c r="C284" s="29"/>
      <c r="D284" s="29"/>
      <c r="E284" s="29"/>
      <c r="F284" s="29"/>
      <c r="G284" s="29"/>
      <c r="H284" s="318"/>
      <c r="I284" s="29"/>
      <c r="J284" s="29"/>
      <c r="K284" s="29"/>
      <c r="L284" s="29"/>
      <c r="M284" s="29"/>
      <c r="N284" s="275"/>
    </row>
    <row r="285" spans="1:74">
      <c r="A285" s="274"/>
      <c r="B285" s="29"/>
      <c r="C285" s="29"/>
      <c r="D285" s="29"/>
      <c r="E285" s="29"/>
      <c r="F285" s="29"/>
      <c r="G285" s="29"/>
      <c r="H285" s="318"/>
      <c r="I285" s="29"/>
      <c r="J285" s="29"/>
      <c r="K285" s="29"/>
      <c r="L285" s="29"/>
      <c r="M285" s="29"/>
      <c r="N285" s="275"/>
      <c r="BV285" s="47" t="s">
        <v>3</v>
      </c>
    </row>
    <row r="286" spans="1:74">
      <c r="A286" s="274"/>
      <c r="B286" s="29"/>
      <c r="C286" s="29"/>
      <c r="D286" s="29"/>
      <c r="E286" s="29"/>
      <c r="F286" s="29"/>
      <c r="G286" s="29"/>
      <c r="H286" s="318"/>
      <c r="I286" s="29"/>
      <c r="J286" s="29"/>
      <c r="K286" s="29"/>
      <c r="L286" s="29"/>
      <c r="M286" s="29"/>
      <c r="N286" s="275"/>
    </row>
    <row r="287" spans="1:74">
      <c r="A287" s="274"/>
      <c r="B287" s="29"/>
      <c r="C287" s="29"/>
      <c r="D287" s="29"/>
      <c r="E287" s="29"/>
      <c r="F287" s="29"/>
      <c r="G287" s="29"/>
      <c r="H287" s="318"/>
      <c r="I287" s="29"/>
      <c r="J287" s="29"/>
      <c r="K287" s="29"/>
      <c r="L287" s="29"/>
      <c r="M287" s="29"/>
      <c r="N287" s="275"/>
    </row>
    <row r="288" spans="1:74">
      <c r="A288" s="274"/>
      <c r="B288" s="29"/>
      <c r="C288" s="29"/>
      <c r="D288" s="29"/>
      <c r="E288" s="29"/>
      <c r="F288" s="29"/>
      <c r="G288" s="29"/>
      <c r="H288" s="318"/>
      <c r="I288" s="29"/>
      <c r="J288" s="29"/>
      <c r="K288" s="29"/>
      <c r="L288" s="29"/>
      <c r="M288" s="29"/>
      <c r="N288" s="275"/>
      <c r="BV288" s="47" t="s">
        <v>3</v>
      </c>
    </row>
    <row r="289" spans="1:74">
      <c r="A289" s="274"/>
      <c r="B289" s="29"/>
      <c r="C289" s="29"/>
      <c r="D289" s="29"/>
      <c r="E289" s="29"/>
      <c r="F289" s="29"/>
      <c r="G289" s="29"/>
      <c r="H289" s="318"/>
      <c r="I289" s="29"/>
      <c r="J289" s="29"/>
      <c r="K289" s="29"/>
      <c r="L289" s="29"/>
      <c r="M289" s="29"/>
      <c r="N289" s="275"/>
    </row>
    <row r="290" spans="1:74">
      <c r="A290" s="274"/>
      <c r="B290" s="29"/>
      <c r="C290" s="29"/>
      <c r="D290" s="29"/>
      <c r="E290" s="29"/>
      <c r="F290" s="29"/>
      <c r="G290" s="29"/>
      <c r="H290" s="318"/>
      <c r="I290" s="29"/>
      <c r="J290" s="29"/>
      <c r="K290" s="29"/>
      <c r="L290" s="29"/>
      <c r="M290" s="29"/>
      <c r="N290" s="275"/>
    </row>
    <row r="291" spans="1:74">
      <c r="A291" s="274"/>
      <c r="B291" s="29"/>
      <c r="C291" s="29"/>
      <c r="D291" s="29"/>
      <c r="E291" s="29"/>
      <c r="F291" s="29"/>
      <c r="G291" s="29"/>
      <c r="H291" s="318"/>
      <c r="I291" s="29"/>
      <c r="J291" s="29"/>
      <c r="K291" s="29"/>
      <c r="L291" s="29"/>
      <c r="M291" s="29"/>
      <c r="N291" s="275"/>
      <c r="BV291" s="47" t="s">
        <v>3</v>
      </c>
    </row>
    <row r="292" spans="1:74">
      <c r="A292" s="274"/>
      <c r="B292" s="29"/>
      <c r="C292" s="29"/>
      <c r="D292" s="29"/>
      <c r="E292" s="29"/>
      <c r="F292" s="29"/>
      <c r="G292" s="29"/>
      <c r="H292" s="318"/>
      <c r="I292" s="29"/>
      <c r="J292" s="29"/>
      <c r="K292" s="29"/>
      <c r="L292" s="29"/>
      <c r="M292" s="29"/>
      <c r="N292" s="275"/>
    </row>
    <row r="293" spans="1:74">
      <c r="A293" s="274"/>
      <c r="B293" s="29"/>
      <c r="C293" s="29"/>
      <c r="D293" s="29"/>
      <c r="E293" s="29"/>
      <c r="F293" s="29"/>
      <c r="G293" s="29"/>
      <c r="H293" s="318"/>
      <c r="I293" s="29"/>
      <c r="J293" s="29"/>
      <c r="K293" s="29"/>
      <c r="L293" s="29"/>
      <c r="M293" s="29"/>
      <c r="N293" s="275"/>
    </row>
    <row r="294" spans="1:74">
      <c r="A294" s="274"/>
      <c r="B294" s="29"/>
      <c r="C294" s="29"/>
      <c r="D294" s="29"/>
      <c r="E294" s="29"/>
      <c r="F294" s="29"/>
      <c r="G294" s="29"/>
      <c r="H294" s="318"/>
      <c r="I294" s="29"/>
      <c r="J294" s="29"/>
      <c r="K294" s="29"/>
      <c r="L294" s="29"/>
      <c r="M294" s="29"/>
      <c r="N294" s="275"/>
    </row>
    <row r="295" spans="1:74">
      <c r="A295" s="274"/>
      <c r="B295" s="29"/>
      <c r="C295" s="29"/>
      <c r="D295" s="29"/>
      <c r="E295" s="29"/>
      <c r="F295" s="29"/>
      <c r="G295" s="29"/>
      <c r="H295" s="318"/>
      <c r="I295" s="29"/>
      <c r="J295" s="29"/>
      <c r="K295" s="29"/>
      <c r="L295" s="29"/>
      <c r="M295" s="29"/>
      <c r="N295" s="275"/>
    </row>
    <row r="296" spans="1:74">
      <c r="A296" s="274"/>
      <c r="B296" s="29"/>
      <c r="C296" s="29"/>
      <c r="D296" s="29"/>
      <c r="E296" s="29"/>
      <c r="F296" s="29"/>
      <c r="G296" s="29"/>
      <c r="H296" s="318"/>
      <c r="I296" s="29"/>
      <c r="J296" s="29"/>
      <c r="K296" s="29"/>
      <c r="L296" s="29"/>
      <c r="M296" s="29"/>
      <c r="N296" s="275"/>
    </row>
    <row r="297" spans="1:74">
      <c r="A297" s="274"/>
      <c r="B297" s="29"/>
      <c r="C297" s="29"/>
      <c r="D297" s="29"/>
      <c r="E297" s="29"/>
      <c r="F297" s="29"/>
      <c r="G297" s="29"/>
      <c r="H297" s="318"/>
      <c r="I297" s="29"/>
      <c r="J297" s="29"/>
      <c r="K297" s="29"/>
      <c r="L297" s="29"/>
      <c r="M297" s="29"/>
      <c r="N297" s="275"/>
    </row>
    <row r="298" spans="1:74">
      <c r="A298" s="274"/>
      <c r="B298" s="29"/>
      <c r="C298" s="29"/>
      <c r="D298" s="29"/>
      <c r="E298" s="29"/>
      <c r="F298" s="29"/>
      <c r="G298" s="29"/>
      <c r="H298" s="318"/>
      <c r="I298" s="29"/>
      <c r="J298" s="29"/>
      <c r="K298" s="29"/>
      <c r="L298" s="29"/>
      <c r="M298" s="29"/>
      <c r="N298" s="275"/>
    </row>
    <row r="299" spans="1:74">
      <c r="A299" s="274"/>
      <c r="B299" s="29"/>
      <c r="C299" s="29"/>
      <c r="D299" s="29"/>
      <c r="E299" s="29"/>
      <c r="F299" s="29"/>
      <c r="G299" s="29"/>
      <c r="H299" s="318"/>
      <c r="I299" s="29"/>
      <c r="J299" s="29"/>
      <c r="K299" s="29"/>
      <c r="L299" s="29"/>
      <c r="M299" s="29"/>
      <c r="N299" s="275"/>
    </row>
    <row r="300" spans="1:74">
      <c r="A300" s="274"/>
      <c r="B300" s="29"/>
      <c r="C300" s="29"/>
      <c r="D300" s="29"/>
      <c r="E300" s="29"/>
      <c r="F300" s="29"/>
      <c r="G300" s="29"/>
      <c r="H300" s="318"/>
      <c r="I300" s="29"/>
      <c r="J300" s="29"/>
      <c r="K300" s="29"/>
      <c r="L300" s="29"/>
      <c r="M300" s="29"/>
      <c r="N300" s="275"/>
    </row>
    <row r="301" spans="1:74">
      <c r="A301" s="274"/>
      <c r="B301" s="29"/>
      <c r="C301" s="29"/>
      <c r="D301" s="29"/>
      <c r="E301" s="29"/>
      <c r="F301" s="29"/>
      <c r="G301" s="29"/>
      <c r="H301" s="318"/>
      <c r="I301" s="29"/>
      <c r="J301" s="29"/>
      <c r="K301" s="29"/>
      <c r="L301" s="29"/>
      <c r="M301" s="29"/>
      <c r="N301" s="275"/>
    </row>
    <row r="302" spans="1:74">
      <c r="A302" s="274"/>
      <c r="B302" s="29"/>
      <c r="C302" s="29"/>
      <c r="D302" s="29"/>
      <c r="E302" s="29"/>
      <c r="F302" s="29"/>
      <c r="G302" s="29"/>
      <c r="H302" s="318"/>
      <c r="I302" s="29"/>
      <c r="J302" s="29"/>
      <c r="K302" s="29"/>
      <c r="L302" s="29"/>
      <c r="M302" s="29"/>
      <c r="N302" s="275"/>
    </row>
    <row r="303" spans="1:74">
      <c r="A303" s="274"/>
      <c r="B303" s="29"/>
      <c r="C303" s="29"/>
      <c r="D303" s="29"/>
      <c r="E303" s="29"/>
      <c r="F303" s="29"/>
      <c r="G303" s="29"/>
      <c r="H303" s="318"/>
      <c r="I303" s="29"/>
      <c r="J303" s="29"/>
      <c r="K303" s="29"/>
      <c r="L303" s="29"/>
      <c r="M303" s="29"/>
      <c r="N303" s="275"/>
    </row>
    <row r="304" spans="1:74">
      <c r="A304" s="274"/>
      <c r="B304" s="29"/>
      <c r="C304" s="29"/>
      <c r="D304" s="29"/>
      <c r="E304" s="29"/>
      <c r="F304" s="29"/>
      <c r="G304" s="29"/>
      <c r="H304" s="318"/>
      <c r="I304" s="29"/>
      <c r="J304" s="29"/>
      <c r="K304" s="29"/>
      <c r="L304" s="29"/>
      <c r="M304" s="29"/>
      <c r="N304" s="275"/>
    </row>
    <row r="305" spans="1:14">
      <c r="A305" s="274"/>
      <c r="B305" s="29"/>
      <c r="C305" s="29"/>
      <c r="D305" s="29"/>
      <c r="E305" s="29"/>
      <c r="F305" s="29"/>
      <c r="G305" s="29"/>
      <c r="H305" s="318"/>
      <c r="I305" s="29"/>
      <c r="J305" s="29"/>
      <c r="K305" s="29"/>
      <c r="L305" s="29"/>
      <c r="M305" s="29"/>
      <c r="N305" s="275"/>
    </row>
    <row r="306" spans="1:14">
      <c r="A306" s="274"/>
      <c r="B306" s="29"/>
      <c r="C306" s="29"/>
      <c r="D306" s="29"/>
      <c r="E306" s="29"/>
      <c r="F306" s="29"/>
      <c r="G306" s="29"/>
      <c r="H306" s="318"/>
      <c r="I306" s="29"/>
      <c r="J306" s="29"/>
      <c r="K306" s="29"/>
      <c r="L306" s="29"/>
      <c r="M306" s="29"/>
      <c r="N306" s="275"/>
    </row>
    <row r="307" spans="1:14">
      <c r="A307" s="274"/>
      <c r="B307" s="29"/>
      <c r="C307" s="29"/>
      <c r="D307" s="29"/>
      <c r="E307" s="29"/>
      <c r="F307" s="29"/>
      <c r="G307" s="29"/>
      <c r="H307" s="318"/>
      <c r="I307" s="29"/>
      <c r="J307" s="29"/>
      <c r="K307" s="29"/>
      <c r="L307" s="29"/>
      <c r="M307" s="29"/>
      <c r="N307" s="275"/>
    </row>
    <row r="308" spans="1:14">
      <c r="A308" s="274"/>
      <c r="B308" s="29"/>
      <c r="C308" s="29"/>
      <c r="D308" s="29"/>
      <c r="E308" s="29"/>
      <c r="F308" s="29"/>
      <c r="G308" s="29"/>
      <c r="H308" s="318"/>
      <c r="I308" s="29"/>
      <c r="J308" s="29"/>
      <c r="K308" s="29"/>
      <c r="L308" s="29"/>
      <c r="M308" s="29"/>
      <c r="N308" s="275"/>
    </row>
    <row r="309" spans="1:14">
      <c r="A309" s="274"/>
      <c r="B309" s="29"/>
      <c r="C309" s="29"/>
      <c r="D309" s="29"/>
      <c r="E309" s="29"/>
      <c r="F309" s="29"/>
      <c r="G309" s="29"/>
      <c r="H309" s="318"/>
      <c r="I309" s="29"/>
      <c r="J309" s="29"/>
      <c r="K309" s="29"/>
      <c r="L309" s="29"/>
      <c r="M309" s="29"/>
      <c r="N309" s="275"/>
    </row>
    <row r="310" spans="1:14">
      <c r="A310" s="274"/>
      <c r="B310" s="29"/>
      <c r="C310" s="29"/>
      <c r="D310" s="29"/>
      <c r="E310" s="29"/>
      <c r="F310" s="29"/>
      <c r="G310" s="29"/>
      <c r="H310" s="318"/>
      <c r="I310" s="29"/>
      <c r="J310" s="29"/>
      <c r="K310" s="29"/>
      <c r="L310" s="29"/>
      <c r="M310" s="29"/>
      <c r="N310" s="275"/>
    </row>
    <row r="311" spans="1:14">
      <c r="A311" s="274"/>
      <c r="B311" s="29"/>
      <c r="C311" s="29"/>
      <c r="D311" s="29"/>
      <c r="E311" s="29"/>
      <c r="F311" s="29"/>
      <c r="G311" s="29"/>
      <c r="H311" s="318"/>
      <c r="I311" s="29"/>
      <c r="J311" s="29"/>
      <c r="K311" s="29"/>
      <c r="L311" s="29"/>
      <c r="M311" s="29"/>
      <c r="N311" s="275"/>
    </row>
    <row r="312" spans="1:14">
      <c r="A312" s="274"/>
      <c r="B312" s="29"/>
      <c r="C312" s="29"/>
      <c r="D312" s="29"/>
      <c r="E312" s="29"/>
      <c r="F312" s="29"/>
      <c r="G312" s="29"/>
      <c r="H312" s="318"/>
      <c r="I312" s="29"/>
      <c r="J312" s="29"/>
      <c r="K312" s="29"/>
      <c r="L312" s="29"/>
      <c r="M312" s="29"/>
      <c r="N312" s="275"/>
    </row>
    <row r="313" spans="1:14">
      <c r="A313" s="274"/>
      <c r="B313" s="29"/>
      <c r="C313" s="29"/>
      <c r="D313" s="29"/>
      <c r="E313" s="29"/>
      <c r="F313" s="29"/>
      <c r="G313" s="29"/>
      <c r="H313" s="318"/>
      <c r="I313" s="29"/>
      <c r="J313" s="29"/>
      <c r="K313" s="29"/>
      <c r="L313" s="29"/>
      <c r="M313" s="29"/>
      <c r="N313" s="275"/>
    </row>
    <row r="314" spans="1:14">
      <c r="A314" s="274"/>
      <c r="B314" s="29"/>
      <c r="C314" s="29"/>
      <c r="D314" s="29"/>
      <c r="E314" s="29"/>
      <c r="F314" s="29"/>
      <c r="G314" s="29"/>
      <c r="H314" s="318"/>
      <c r="I314" s="29"/>
      <c r="J314" s="29"/>
      <c r="K314" s="29"/>
      <c r="L314" s="29"/>
      <c r="M314" s="29"/>
      <c r="N314" s="275"/>
    </row>
    <row r="315" spans="1:14">
      <c r="A315" s="274"/>
      <c r="B315" s="29"/>
      <c r="C315" s="29"/>
      <c r="D315" s="29"/>
      <c r="E315" s="29"/>
      <c r="F315" s="29"/>
      <c r="G315" s="29"/>
      <c r="H315" s="318"/>
      <c r="I315" s="29"/>
      <c r="J315" s="29"/>
      <c r="K315" s="29"/>
      <c r="L315" s="29"/>
      <c r="M315" s="29"/>
      <c r="N315" s="275"/>
    </row>
    <row r="316" spans="1:14">
      <c r="A316" s="274"/>
      <c r="B316" s="29"/>
      <c r="C316" s="29"/>
      <c r="D316" s="29"/>
      <c r="E316" s="29"/>
      <c r="F316" s="29"/>
      <c r="G316" s="29"/>
      <c r="H316" s="318"/>
      <c r="I316" s="29"/>
      <c r="J316" s="29"/>
      <c r="K316" s="29"/>
      <c r="L316" s="29"/>
      <c r="M316" s="29"/>
      <c r="N316" s="275"/>
    </row>
    <row r="317" spans="1:14">
      <c r="A317" s="274"/>
      <c r="B317" s="29"/>
      <c r="C317" s="29"/>
      <c r="D317" s="29"/>
      <c r="E317" s="29"/>
      <c r="F317" s="29"/>
      <c r="G317" s="29"/>
      <c r="H317" s="318"/>
      <c r="I317" s="29"/>
      <c r="J317" s="29"/>
      <c r="K317" s="29"/>
      <c r="L317" s="29"/>
      <c r="M317" s="29"/>
      <c r="N317" s="275"/>
    </row>
    <row r="318" spans="1:14">
      <c r="A318" s="274"/>
      <c r="B318" s="29"/>
      <c r="C318" s="29"/>
      <c r="D318" s="29"/>
      <c r="E318" s="29"/>
      <c r="F318" s="29"/>
      <c r="G318" s="29"/>
      <c r="H318" s="318"/>
      <c r="I318" s="29"/>
      <c r="J318" s="29"/>
      <c r="K318" s="29"/>
      <c r="L318" s="29"/>
      <c r="M318" s="29"/>
      <c r="N318" s="275"/>
    </row>
    <row r="319" spans="1:14" ht="30" customHeight="1">
      <c r="A319" s="271" t="s">
        <v>1148</v>
      </c>
      <c r="B319" s="1218" t="s">
        <v>1155</v>
      </c>
      <c r="C319" s="1218"/>
      <c r="D319" s="1218"/>
      <c r="E319" s="1218"/>
      <c r="F319" s="1218"/>
      <c r="G319" s="1218"/>
      <c r="H319" s="1218"/>
      <c r="I319" s="1218"/>
      <c r="J319" s="1218"/>
      <c r="K319" s="1218"/>
      <c r="L319" s="1218"/>
      <c r="M319" s="272"/>
      <c r="N319" s="273" t="s">
        <v>1149</v>
      </c>
    </row>
    <row r="320" spans="1:14">
      <c r="A320" s="294"/>
      <c r="B320" s="158"/>
      <c r="C320" s="158"/>
      <c r="D320" s="158"/>
      <c r="E320" s="158"/>
      <c r="F320" s="158"/>
      <c r="G320" s="158"/>
      <c r="H320" s="329"/>
      <c r="I320" s="158"/>
      <c r="J320" s="158"/>
      <c r="K320" s="158"/>
      <c r="L320" s="158"/>
      <c r="M320" s="158"/>
      <c r="N320" s="295"/>
    </row>
    <row r="321" spans="1:14">
      <c r="A321" s="294"/>
      <c r="B321" s="158"/>
      <c r="C321" s="158"/>
      <c r="D321" s="158"/>
      <c r="E321" s="158"/>
      <c r="F321" s="158"/>
      <c r="G321" s="158"/>
      <c r="H321" s="329"/>
      <c r="I321" s="158"/>
      <c r="J321" s="158"/>
      <c r="K321" s="158"/>
      <c r="L321" s="158"/>
      <c r="M321" s="158"/>
      <c r="N321" s="295"/>
    </row>
    <row r="322" spans="1:14">
      <c r="A322" s="294"/>
      <c r="B322" s="158"/>
      <c r="C322" s="158"/>
      <c r="D322" s="158"/>
      <c r="E322" s="158"/>
      <c r="F322" s="158"/>
      <c r="G322" s="158"/>
      <c r="H322" s="329"/>
      <c r="I322" s="158"/>
      <c r="J322" s="158"/>
      <c r="K322" s="158"/>
      <c r="L322" s="158"/>
      <c r="M322" s="158"/>
      <c r="N322" s="295"/>
    </row>
    <row r="323" spans="1:14">
      <c r="A323" s="294"/>
      <c r="B323" s="158"/>
      <c r="C323" s="158"/>
      <c r="D323" s="158"/>
      <c r="E323" s="158"/>
      <c r="F323" s="158"/>
      <c r="G323" s="158"/>
      <c r="H323" s="329"/>
      <c r="I323" s="158"/>
      <c r="J323" s="158"/>
      <c r="K323" s="158"/>
      <c r="L323" s="158"/>
      <c r="M323" s="158"/>
      <c r="N323" s="295"/>
    </row>
    <row r="324" spans="1:14">
      <c r="A324" s="294"/>
      <c r="B324" s="158"/>
      <c r="C324" s="158"/>
      <c r="D324" s="158"/>
      <c r="E324" s="158"/>
      <c r="F324" s="158"/>
      <c r="G324" s="158"/>
      <c r="H324" s="329"/>
      <c r="I324" s="158"/>
      <c r="J324" s="158"/>
      <c r="K324" s="158"/>
      <c r="L324" s="158"/>
      <c r="M324" s="158"/>
      <c r="N324" s="295"/>
    </row>
    <row r="325" spans="1:14">
      <c r="A325" s="294"/>
      <c r="B325" s="158"/>
      <c r="C325" s="158"/>
      <c r="D325" s="158"/>
      <c r="E325" s="158"/>
      <c r="F325" s="158"/>
      <c r="G325" s="158"/>
      <c r="H325" s="329"/>
      <c r="I325" s="158"/>
      <c r="J325" s="158"/>
      <c r="K325" s="158"/>
      <c r="L325" s="158"/>
      <c r="M325" s="158"/>
      <c r="N325" s="295"/>
    </row>
    <row r="326" spans="1:14">
      <c r="A326" s="294"/>
      <c r="B326" s="158"/>
      <c r="C326" s="158"/>
      <c r="D326" s="158"/>
      <c r="E326" s="158"/>
      <c r="F326" s="158"/>
      <c r="G326" s="158"/>
      <c r="H326" s="329"/>
      <c r="I326" s="158"/>
      <c r="J326" s="158"/>
      <c r="K326" s="158"/>
      <c r="L326" s="158"/>
      <c r="M326" s="158"/>
      <c r="N326" s="295"/>
    </row>
    <row r="327" spans="1:14">
      <c r="A327" s="294"/>
      <c r="B327" s="158"/>
      <c r="C327" s="158"/>
      <c r="D327" s="158"/>
      <c r="E327" s="158"/>
      <c r="F327" s="158"/>
      <c r="G327" s="158"/>
      <c r="H327" s="329"/>
      <c r="I327" s="158"/>
      <c r="J327" s="158"/>
      <c r="K327" s="158"/>
      <c r="L327" s="158"/>
      <c r="M327" s="158"/>
      <c r="N327" s="295"/>
    </row>
    <row r="328" spans="1:14">
      <c r="A328" s="294"/>
      <c r="B328" s="158"/>
      <c r="C328" s="158"/>
      <c r="D328" s="158"/>
      <c r="E328" s="158"/>
      <c r="F328" s="158"/>
      <c r="G328" s="158"/>
      <c r="H328" s="329"/>
      <c r="I328" s="158"/>
      <c r="J328" s="158"/>
      <c r="K328" s="158"/>
      <c r="L328" s="158"/>
      <c r="M328" s="158"/>
      <c r="N328" s="295"/>
    </row>
    <row r="329" spans="1:14">
      <c r="A329" s="294"/>
      <c r="B329" s="158"/>
      <c r="C329" s="158"/>
      <c r="D329" s="158"/>
      <c r="E329" s="158"/>
      <c r="F329" s="158"/>
      <c r="G329" s="158"/>
      <c r="H329" s="329"/>
      <c r="I329" s="158"/>
      <c r="J329" s="158"/>
      <c r="K329" s="158"/>
      <c r="L329" s="158"/>
      <c r="M329" s="158"/>
      <c r="N329" s="295"/>
    </row>
    <row r="330" spans="1:14">
      <c r="A330" s="294"/>
      <c r="B330" s="158"/>
      <c r="C330" s="158"/>
      <c r="D330" s="158"/>
      <c r="E330" s="158"/>
      <c r="F330" s="158"/>
      <c r="G330" s="158"/>
      <c r="H330" s="329"/>
      <c r="I330" s="158"/>
      <c r="J330" s="158"/>
      <c r="K330" s="158"/>
      <c r="L330" s="158"/>
      <c r="M330" s="158"/>
      <c r="N330" s="295"/>
    </row>
    <row r="331" spans="1:14">
      <c r="A331" s="294"/>
      <c r="B331" s="158"/>
      <c r="C331" s="158"/>
      <c r="D331" s="158"/>
      <c r="E331" s="158"/>
      <c r="F331" s="158"/>
      <c r="G331" s="158"/>
      <c r="H331" s="329"/>
      <c r="I331" s="158"/>
      <c r="J331" s="158"/>
      <c r="K331" s="158"/>
      <c r="L331" s="158"/>
      <c r="M331" s="158"/>
      <c r="N331" s="295"/>
    </row>
    <row r="332" spans="1:14">
      <c r="A332" s="294"/>
      <c r="B332" s="158"/>
      <c r="C332" s="158"/>
      <c r="D332" s="158"/>
      <c r="E332" s="158"/>
      <c r="F332" s="158"/>
      <c r="G332" s="158"/>
      <c r="H332" s="329"/>
      <c r="I332" s="158"/>
      <c r="J332" s="158"/>
      <c r="K332" s="158"/>
      <c r="L332" s="158"/>
      <c r="M332" s="158"/>
      <c r="N332" s="295"/>
    </row>
    <row r="333" spans="1:14">
      <c r="A333" s="294"/>
      <c r="B333" s="158"/>
      <c r="C333" s="158"/>
      <c r="D333" s="158"/>
      <c r="E333" s="158"/>
      <c r="F333" s="158"/>
      <c r="G333" s="158"/>
      <c r="H333" s="329"/>
      <c r="I333" s="158"/>
      <c r="J333" s="158"/>
      <c r="K333" s="158"/>
      <c r="L333" s="158"/>
      <c r="M333" s="158"/>
      <c r="N333" s="295"/>
    </row>
    <row r="334" spans="1:14">
      <c r="A334" s="294"/>
      <c r="B334" s="158"/>
      <c r="C334" s="158"/>
      <c r="D334" s="158"/>
      <c r="E334" s="158"/>
      <c r="F334" s="158"/>
      <c r="G334" s="158"/>
      <c r="H334" s="329"/>
      <c r="I334" s="158"/>
      <c r="J334" s="158"/>
      <c r="K334" s="158"/>
      <c r="L334" s="158"/>
      <c r="M334" s="158"/>
      <c r="N334" s="295"/>
    </row>
    <row r="335" spans="1:14">
      <c r="A335" s="294"/>
      <c r="B335" s="158"/>
      <c r="C335" s="158"/>
      <c r="D335" s="158"/>
      <c r="E335" s="158"/>
      <c r="F335" s="158"/>
      <c r="G335" s="158"/>
      <c r="H335" s="329"/>
      <c r="I335" s="158"/>
      <c r="J335" s="158"/>
      <c r="K335" s="158"/>
      <c r="L335" s="158"/>
      <c r="M335" s="158"/>
      <c r="N335" s="295"/>
    </row>
    <row r="336" spans="1:14">
      <c r="A336" s="294"/>
      <c r="B336" s="158"/>
      <c r="C336" s="158"/>
      <c r="D336" s="158"/>
      <c r="E336" s="158"/>
      <c r="F336" s="158"/>
      <c r="G336" s="158"/>
      <c r="H336" s="329"/>
      <c r="I336" s="158"/>
      <c r="J336" s="158"/>
      <c r="K336" s="158"/>
      <c r="L336" s="158"/>
      <c r="M336" s="158"/>
      <c r="N336" s="295"/>
    </row>
    <row r="337" spans="1:14">
      <c r="A337" s="294"/>
      <c r="B337" s="158"/>
      <c r="C337" s="158"/>
      <c r="D337" s="158"/>
      <c r="E337" s="158"/>
      <c r="F337" s="158"/>
      <c r="G337" s="158"/>
      <c r="H337" s="329"/>
      <c r="I337" s="158"/>
      <c r="J337" s="158"/>
      <c r="K337" s="158"/>
      <c r="L337" s="158"/>
      <c r="M337" s="158"/>
      <c r="N337" s="295"/>
    </row>
    <row r="338" spans="1:14">
      <c r="A338" s="294"/>
      <c r="B338" s="158"/>
      <c r="C338" s="158"/>
      <c r="D338" s="158"/>
      <c r="E338" s="158"/>
      <c r="F338" s="158"/>
      <c r="G338" s="158"/>
      <c r="H338" s="329"/>
      <c r="I338" s="158"/>
      <c r="J338" s="158"/>
      <c r="K338" s="158"/>
      <c r="L338" s="158"/>
      <c r="M338" s="158"/>
      <c r="N338" s="295"/>
    </row>
    <row r="339" spans="1:14">
      <c r="A339" s="294"/>
      <c r="B339" s="158"/>
      <c r="C339" s="158"/>
      <c r="D339" s="158"/>
      <c r="E339" s="158"/>
      <c r="F339" s="158"/>
      <c r="G339" s="158"/>
      <c r="H339" s="329"/>
      <c r="I339" s="158"/>
      <c r="J339" s="158"/>
      <c r="K339" s="158"/>
      <c r="L339" s="158"/>
      <c r="M339" s="158"/>
      <c r="N339" s="295"/>
    </row>
    <row r="340" spans="1:14">
      <c r="A340" s="294"/>
      <c r="B340" s="158"/>
      <c r="C340" s="158"/>
      <c r="D340" s="158"/>
      <c r="E340" s="158"/>
      <c r="F340" s="158"/>
      <c r="G340" s="158"/>
      <c r="H340" s="329"/>
      <c r="I340" s="158"/>
      <c r="J340" s="158"/>
      <c r="K340" s="158"/>
      <c r="L340" s="158"/>
      <c r="M340" s="158"/>
      <c r="N340" s="295"/>
    </row>
    <row r="341" spans="1:14">
      <c r="A341" s="294"/>
      <c r="B341" s="158"/>
      <c r="C341" s="158"/>
      <c r="D341" s="158"/>
      <c r="E341" s="158"/>
      <c r="F341" s="158"/>
      <c r="G341" s="158"/>
      <c r="H341" s="329"/>
      <c r="I341" s="158"/>
      <c r="J341" s="158"/>
      <c r="K341" s="158"/>
      <c r="L341" s="158"/>
      <c r="M341" s="158"/>
      <c r="N341" s="295"/>
    </row>
    <row r="342" spans="1:14">
      <c r="A342" s="294"/>
      <c r="B342" s="158"/>
      <c r="C342" s="158"/>
      <c r="D342" s="158"/>
      <c r="E342" s="158"/>
      <c r="F342" s="158"/>
      <c r="G342" s="158"/>
      <c r="H342" s="329"/>
      <c r="I342" s="158"/>
      <c r="J342" s="158"/>
      <c r="K342" s="158"/>
      <c r="L342" s="158"/>
      <c r="M342" s="158"/>
      <c r="N342" s="295"/>
    </row>
    <row r="343" spans="1:14">
      <c r="A343" s="294"/>
      <c r="B343" s="158"/>
      <c r="C343" s="158"/>
      <c r="D343" s="158"/>
      <c r="E343" s="158"/>
      <c r="F343" s="158"/>
      <c r="G343" s="158"/>
      <c r="H343" s="329"/>
      <c r="I343" s="158"/>
      <c r="J343" s="158"/>
      <c r="K343" s="158"/>
      <c r="L343" s="158"/>
      <c r="M343" s="158"/>
      <c r="N343" s="295"/>
    </row>
    <row r="344" spans="1:14">
      <c r="A344" s="294"/>
      <c r="B344" s="158"/>
      <c r="C344" s="158"/>
      <c r="D344" s="158"/>
      <c r="E344" s="158"/>
      <c r="F344" s="158"/>
      <c r="G344" s="158"/>
      <c r="H344" s="329"/>
      <c r="I344" s="158"/>
      <c r="J344" s="158"/>
      <c r="K344" s="158"/>
      <c r="L344" s="158"/>
      <c r="M344" s="158"/>
      <c r="N344" s="295"/>
    </row>
    <row r="345" spans="1:14">
      <c r="A345" s="294"/>
      <c r="B345" s="158"/>
      <c r="C345" s="158"/>
      <c r="D345" s="158"/>
      <c r="E345" s="158"/>
      <c r="F345" s="158"/>
      <c r="G345" s="158"/>
      <c r="H345" s="329"/>
      <c r="I345" s="158"/>
      <c r="J345" s="158"/>
      <c r="K345" s="158"/>
      <c r="L345" s="158"/>
      <c r="M345" s="158"/>
      <c r="N345" s="295"/>
    </row>
    <row r="346" spans="1:14">
      <c r="A346" s="294"/>
      <c r="B346" s="158"/>
      <c r="C346" s="158"/>
      <c r="D346" s="158"/>
      <c r="E346" s="158"/>
      <c r="F346" s="158"/>
      <c r="G346" s="158"/>
      <c r="H346" s="329"/>
      <c r="I346" s="158"/>
      <c r="J346" s="158"/>
      <c r="K346" s="158"/>
      <c r="L346" s="158"/>
      <c r="M346" s="158"/>
      <c r="N346" s="295"/>
    </row>
    <row r="347" spans="1:14">
      <c r="A347" s="294"/>
      <c r="B347" s="158"/>
      <c r="C347" s="158"/>
      <c r="D347" s="158"/>
      <c r="E347" s="158"/>
      <c r="F347" s="158"/>
      <c r="G347" s="158"/>
      <c r="H347" s="329"/>
      <c r="I347" s="158"/>
      <c r="J347" s="158"/>
      <c r="K347" s="158"/>
      <c r="L347" s="158"/>
      <c r="M347" s="158"/>
      <c r="N347" s="295"/>
    </row>
    <row r="348" spans="1:14">
      <c r="A348" s="294"/>
      <c r="B348" s="158"/>
      <c r="C348" s="158"/>
      <c r="D348" s="158"/>
      <c r="E348" s="158"/>
      <c r="F348" s="158"/>
      <c r="G348" s="158"/>
      <c r="H348" s="329"/>
      <c r="I348" s="158"/>
      <c r="J348" s="158"/>
      <c r="K348" s="158"/>
      <c r="L348" s="158"/>
      <c r="M348" s="158"/>
      <c r="N348" s="295"/>
    </row>
    <row r="349" spans="1:14">
      <c r="A349" s="294"/>
      <c r="B349" s="158"/>
      <c r="C349" s="158"/>
      <c r="D349" s="158"/>
      <c r="E349" s="158"/>
      <c r="F349" s="158"/>
      <c r="G349" s="158"/>
      <c r="H349" s="329"/>
      <c r="I349" s="158"/>
      <c r="J349" s="158"/>
      <c r="K349" s="158"/>
      <c r="L349" s="158"/>
      <c r="M349" s="158"/>
      <c r="N349" s="295"/>
    </row>
    <row r="350" spans="1:14">
      <c r="A350" s="294"/>
      <c r="B350" s="158"/>
      <c r="C350" s="158"/>
      <c r="D350" s="158"/>
      <c r="E350" s="158"/>
      <c r="F350" s="158"/>
      <c r="G350" s="158"/>
      <c r="H350" s="329"/>
      <c r="I350" s="158"/>
      <c r="J350" s="158"/>
      <c r="K350" s="158"/>
      <c r="L350" s="158"/>
      <c r="M350" s="158"/>
      <c r="N350" s="295"/>
    </row>
    <row r="351" spans="1:14">
      <c r="A351" s="294"/>
      <c r="B351" s="158"/>
      <c r="C351" s="158"/>
      <c r="D351" s="158"/>
      <c r="E351" s="158"/>
      <c r="F351" s="158"/>
      <c r="G351" s="158"/>
      <c r="H351" s="329"/>
      <c r="I351" s="158"/>
      <c r="J351" s="158"/>
      <c r="K351" s="158"/>
      <c r="L351" s="158"/>
      <c r="M351" s="158"/>
      <c r="N351" s="295"/>
    </row>
    <row r="352" spans="1:14">
      <c r="A352" s="294"/>
      <c r="B352" s="158"/>
      <c r="C352" s="158"/>
      <c r="D352" s="158"/>
      <c r="E352" s="158"/>
      <c r="F352" s="158"/>
      <c r="G352" s="158"/>
      <c r="H352" s="329"/>
      <c r="I352" s="158"/>
      <c r="J352" s="158"/>
      <c r="K352" s="158"/>
      <c r="L352" s="158"/>
      <c r="M352" s="158"/>
      <c r="N352" s="295"/>
    </row>
    <row r="353" spans="1:14">
      <c r="A353" s="294"/>
      <c r="B353" s="158"/>
      <c r="C353" s="158"/>
      <c r="D353" s="158"/>
      <c r="E353" s="158"/>
      <c r="F353" s="158"/>
      <c r="G353" s="158"/>
      <c r="H353" s="329"/>
      <c r="I353" s="158"/>
      <c r="J353" s="158"/>
      <c r="K353" s="158"/>
      <c r="L353" s="158"/>
      <c r="M353" s="158"/>
      <c r="N353" s="295"/>
    </row>
    <row r="354" spans="1:14">
      <c r="A354" s="294"/>
      <c r="B354" s="158"/>
      <c r="C354" s="158"/>
      <c r="D354" s="158"/>
      <c r="E354" s="158"/>
      <c r="F354" s="158"/>
      <c r="G354" s="158"/>
      <c r="H354" s="329"/>
      <c r="I354" s="158"/>
      <c r="J354" s="158"/>
      <c r="K354" s="158"/>
      <c r="L354" s="158"/>
      <c r="M354" s="158"/>
      <c r="N354" s="295"/>
    </row>
    <row r="355" spans="1:14">
      <c r="A355" s="294"/>
      <c r="B355" s="158"/>
      <c r="C355" s="158"/>
      <c r="D355" s="158"/>
      <c r="E355" s="158"/>
      <c r="F355" s="158"/>
      <c r="G355" s="158"/>
      <c r="H355" s="329"/>
      <c r="I355" s="158"/>
      <c r="J355" s="158"/>
      <c r="K355" s="158"/>
      <c r="L355" s="158"/>
      <c r="M355" s="158"/>
      <c r="N355" s="295"/>
    </row>
    <row r="356" spans="1:14">
      <c r="A356" s="294"/>
      <c r="B356" s="158"/>
      <c r="C356" s="158"/>
      <c r="D356" s="158"/>
      <c r="E356" s="158"/>
      <c r="F356" s="158"/>
      <c r="G356" s="158"/>
      <c r="H356" s="329"/>
      <c r="I356" s="158"/>
      <c r="J356" s="158"/>
      <c r="K356" s="158"/>
      <c r="L356" s="158"/>
      <c r="M356" s="158"/>
      <c r="N356" s="295"/>
    </row>
    <row r="357" spans="1:14">
      <c r="A357" s="294"/>
      <c r="B357" s="158"/>
      <c r="C357" s="158"/>
      <c r="D357" s="158"/>
      <c r="E357" s="158"/>
      <c r="F357" s="158"/>
      <c r="G357" s="158"/>
      <c r="H357" s="329"/>
      <c r="I357" s="158"/>
      <c r="J357" s="158"/>
      <c r="K357" s="158"/>
      <c r="L357" s="158"/>
      <c r="M357" s="158"/>
      <c r="N357" s="295"/>
    </row>
    <row r="358" spans="1:14">
      <c r="A358" s="294"/>
      <c r="B358" s="158"/>
      <c r="C358" s="158"/>
      <c r="D358" s="158"/>
      <c r="E358" s="158"/>
      <c r="F358" s="158"/>
      <c r="G358" s="158"/>
      <c r="H358" s="329"/>
      <c r="I358" s="158"/>
      <c r="J358" s="158"/>
      <c r="K358" s="158"/>
      <c r="L358" s="158"/>
      <c r="M358" s="158"/>
      <c r="N358" s="295"/>
    </row>
    <row r="359" spans="1:14">
      <c r="A359" s="294"/>
      <c r="B359" s="158"/>
      <c r="C359" s="158"/>
      <c r="D359" s="158"/>
      <c r="E359" s="158"/>
      <c r="F359" s="158"/>
      <c r="G359" s="158"/>
      <c r="H359" s="329"/>
      <c r="I359" s="158"/>
      <c r="J359" s="158"/>
      <c r="K359" s="158"/>
      <c r="L359" s="158"/>
      <c r="M359" s="158"/>
      <c r="N359" s="295"/>
    </row>
    <row r="360" spans="1:14">
      <c r="A360" s="294"/>
      <c r="B360" s="158"/>
      <c r="C360" s="158"/>
      <c r="D360" s="158"/>
      <c r="E360" s="158"/>
      <c r="F360" s="158"/>
      <c r="G360" s="158"/>
      <c r="H360" s="329"/>
      <c r="I360" s="158"/>
      <c r="J360" s="158"/>
      <c r="K360" s="158"/>
      <c r="L360" s="158"/>
      <c r="M360" s="158"/>
      <c r="N360" s="295"/>
    </row>
    <row r="361" spans="1:14">
      <c r="A361" s="294"/>
      <c r="B361" s="158"/>
      <c r="C361" s="158"/>
      <c r="D361" s="158"/>
      <c r="E361" s="158"/>
      <c r="F361" s="158"/>
      <c r="G361" s="158"/>
      <c r="H361" s="329"/>
      <c r="I361" s="158"/>
      <c r="J361" s="158"/>
      <c r="K361" s="158"/>
      <c r="L361" s="158"/>
      <c r="M361" s="158"/>
      <c r="N361" s="295"/>
    </row>
    <row r="362" spans="1:14">
      <c r="A362" s="294"/>
      <c r="B362" s="158"/>
      <c r="C362" s="158"/>
      <c r="D362" s="158"/>
      <c r="E362" s="158"/>
      <c r="F362" s="158"/>
      <c r="G362" s="158"/>
      <c r="H362" s="329"/>
      <c r="I362" s="158"/>
      <c r="J362" s="158"/>
      <c r="K362" s="158"/>
      <c r="L362" s="158"/>
      <c r="M362" s="158"/>
      <c r="N362" s="295"/>
    </row>
    <row r="363" spans="1:14">
      <c r="A363" s="294"/>
      <c r="B363" s="158"/>
      <c r="C363" s="158"/>
      <c r="D363" s="158"/>
      <c r="E363" s="158"/>
      <c r="F363" s="158"/>
      <c r="G363" s="158"/>
      <c r="H363" s="329"/>
      <c r="I363" s="158"/>
      <c r="J363" s="158"/>
      <c r="K363" s="158"/>
      <c r="L363" s="158"/>
      <c r="M363" s="158"/>
      <c r="N363" s="295"/>
    </row>
    <row r="364" spans="1:14">
      <c r="A364" s="294"/>
      <c r="B364" s="158"/>
      <c r="C364" s="158"/>
      <c r="D364" s="158"/>
      <c r="E364" s="158"/>
      <c r="F364" s="158"/>
      <c r="G364" s="158"/>
      <c r="H364" s="329"/>
      <c r="I364" s="158"/>
      <c r="J364" s="158"/>
      <c r="K364" s="158"/>
      <c r="L364" s="158"/>
      <c r="M364" s="158"/>
      <c r="N364" s="295"/>
    </row>
    <row r="365" spans="1:14">
      <c r="A365" s="296"/>
      <c r="B365" s="297"/>
      <c r="C365" s="297"/>
      <c r="D365" s="297"/>
      <c r="E365" s="297"/>
      <c r="F365" s="297"/>
      <c r="G365" s="297"/>
      <c r="H365" s="330"/>
      <c r="I365" s="297"/>
      <c r="J365" s="297"/>
      <c r="K365" s="297"/>
      <c r="L365" s="297"/>
      <c r="M365" s="297"/>
      <c r="N365" s="298"/>
    </row>
    <row r="366" spans="1:14" ht="30" customHeight="1">
      <c r="A366" s="250" t="s">
        <v>1148</v>
      </c>
      <c r="B366" s="944" t="s">
        <v>1209</v>
      </c>
      <c r="C366" s="944"/>
      <c r="D366" s="944"/>
      <c r="E366" s="944"/>
      <c r="F366" s="944"/>
      <c r="G366" s="944"/>
      <c r="H366" s="944"/>
      <c r="I366" s="944"/>
      <c r="J366" s="944"/>
      <c r="K366" s="944"/>
      <c r="L366" s="944"/>
      <c r="M366" s="251"/>
      <c r="N366" s="252" t="s">
        <v>1149</v>
      </c>
    </row>
    <row r="367" spans="1:14">
      <c r="A367" s="299"/>
      <c r="B367" s="158"/>
      <c r="C367" s="158"/>
      <c r="D367" s="158"/>
      <c r="E367" s="158"/>
      <c r="F367" s="158"/>
      <c r="G367" s="158"/>
      <c r="H367" s="329"/>
      <c r="I367" s="158"/>
      <c r="J367" s="158"/>
      <c r="K367" s="158"/>
      <c r="L367" s="158"/>
      <c r="M367" s="158"/>
      <c r="N367" s="295"/>
    </row>
    <row r="368" spans="1:14">
      <c r="A368" s="299"/>
      <c r="B368" s="158"/>
      <c r="C368" s="158"/>
      <c r="D368" s="158"/>
      <c r="E368" s="158"/>
      <c r="F368" s="158"/>
      <c r="G368" s="158"/>
      <c r="H368" s="329"/>
      <c r="I368" s="158"/>
      <c r="J368" s="158"/>
      <c r="K368" s="158"/>
      <c r="L368" s="158"/>
      <c r="M368" s="158"/>
      <c r="N368" s="295"/>
    </row>
    <row r="369" spans="1:14">
      <c r="A369" s="299"/>
      <c r="B369" s="158"/>
      <c r="C369" s="158"/>
      <c r="D369" s="158"/>
      <c r="E369" s="158"/>
      <c r="F369" s="158"/>
      <c r="G369" s="158"/>
      <c r="H369" s="329"/>
      <c r="I369" s="158"/>
      <c r="J369" s="158"/>
      <c r="K369" s="158"/>
      <c r="L369" s="158"/>
      <c r="M369" s="158"/>
      <c r="N369" s="295"/>
    </row>
    <row r="370" spans="1:14" ht="14.4" customHeight="1">
      <c r="A370" s="299"/>
      <c r="B370" s="158"/>
      <c r="C370" s="158"/>
      <c r="D370" s="158"/>
      <c r="E370" s="158"/>
      <c r="F370" s="158"/>
      <c r="G370" s="158"/>
      <c r="H370" s="329"/>
      <c r="I370" s="158"/>
      <c r="J370" s="158"/>
      <c r="K370" s="158"/>
      <c r="L370" s="158"/>
      <c r="M370" s="158"/>
      <c r="N370" s="295"/>
    </row>
    <row r="371" spans="1:14" ht="13.95" customHeight="1">
      <c r="A371" s="299"/>
      <c r="B371" s="158"/>
      <c r="C371" s="158"/>
      <c r="D371" s="158"/>
      <c r="E371" s="158"/>
      <c r="F371" s="158"/>
      <c r="G371" s="158"/>
      <c r="H371" s="329"/>
      <c r="I371" s="158"/>
      <c r="J371" s="158"/>
      <c r="K371" s="158"/>
      <c r="L371" s="158"/>
      <c r="M371" s="158"/>
      <c r="N371" s="295"/>
    </row>
    <row r="372" spans="1:14" ht="14.4" customHeight="1">
      <c r="A372" s="299"/>
      <c r="B372" s="158"/>
      <c r="C372" s="158"/>
      <c r="D372" s="158"/>
      <c r="E372" s="158"/>
      <c r="F372" s="158"/>
      <c r="G372" s="158"/>
      <c r="H372" s="329"/>
      <c r="I372" s="158"/>
      <c r="J372" s="158"/>
      <c r="K372" s="158"/>
      <c r="L372" s="158"/>
      <c r="M372" s="158"/>
      <c r="N372" s="295"/>
    </row>
    <row r="373" spans="1:14">
      <c r="A373" s="299"/>
      <c r="B373" s="158"/>
      <c r="C373" s="158"/>
      <c r="D373" s="158"/>
      <c r="E373" s="158"/>
      <c r="F373" s="158"/>
      <c r="G373" s="158"/>
      <c r="H373" s="329"/>
      <c r="I373" s="158"/>
      <c r="J373" s="158"/>
      <c r="K373" s="158"/>
      <c r="L373" s="158"/>
      <c r="M373" s="158"/>
      <c r="N373" s="295"/>
    </row>
    <row r="374" spans="1:14">
      <c r="A374" s="299"/>
      <c r="B374" s="158"/>
      <c r="C374" s="158"/>
      <c r="D374" s="158"/>
      <c r="E374" s="158"/>
      <c r="F374" s="158"/>
      <c r="G374" s="158"/>
      <c r="H374" s="329"/>
      <c r="I374" s="158"/>
      <c r="J374" s="158"/>
      <c r="K374" s="158"/>
      <c r="L374" s="158"/>
      <c r="M374" s="158"/>
      <c r="N374" s="295"/>
    </row>
    <row r="375" spans="1:14" ht="13.2" customHeight="1">
      <c r="A375" s="299"/>
      <c r="B375" s="158"/>
      <c r="C375" s="158"/>
      <c r="D375" s="158"/>
      <c r="E375" s="158"/>
      <c r="F375" s="158"/>
      <c r="G375" s="158"/>
      <c r="H375" s="329"/>
      <c r="I375" s="158"/>
      <c r="J375" s="158"/>
      <c r="K375" s="158"/>
      <c r="L375" s="158"/>
      <c r="M375" s="158"/>
      <c r="N375" s="295"/>
    </row>
    <row r="376" spans="1:14">
      <c r="A376" s="299"/>
      <c r="B376" s="158"/>
      <c r="C376" s="158"/>
      <c r="D376" s="158"/>
      <c r="E376" s="158"/>
      <c r="F376" s="158"/>
      <c r="G376" s="158"/>
      <c r="H376" s="329"/>
      <c r="I376" s="158"/>
      <c r="J376" s="158"/>
      <c r="K376" s="158"/>
      <c r="L376" s="158"/>
      <c r="M376" s="158"/>
      <c r="N376" s="295"/>
    </row>
    <row r="377" spans="1:14">
      <c r="A377" s="299"/>
      <c r="B377" s="158"/>
      <c r="C377" s="158"/>
      <c r="D377" s="158"/>
      <c r="E377" s="158"/>
      <c r="F377" s="158"/>
      <c r="G377" s="158"/>
      <c r="H377" s="329"/>
      <c r="I377" s="158"/>
      <c r="J377" s="158"/>
      <c r="K377" s="158"/>
      <c r="L377" s="158"/>
      <c r="M377" s="158"/>
      <c r="N377" s="295"/>
    </row>
    <row r="378" spans="1:14">
      <c r="A378" s="299"/>
      <c r="B378" s="158"/>
      <c r="C378" s="158"/>
      <c r="D378" s="158"/>
      <c r="E378" s="158"/>
      <c r="F378" s="158"/>
      <c r="G378" s="158"/>
      <c r="H378" s="329"/>
      <c r="I378" s="158"/>
      <c r="J378" s="158"/>
      <c r="K378" s="158"/>
      <c r="L378" s="158"/>
      <c r="M378" s="158"/>
      <c r="N378" s="295"/>
    </row>
    <row r="379" spans="1:14">
      <c r="A379" s="299"/>
      <c r="B379" s="158"/>
      <c r="C379" s="158"/>
      <c r="D379" s="158"/>
      <c r="E379" s="158"/>
      <c r="F379" s="158"/>
      <c r="G379" s="158"/>
      <c r="H379" s="329"/>
      <c r="I379" s="158"/>
      <c r="J379" s="158"/>
      <c r="K379" s="158"/>
      <c r="L379" s="158"/>
      <c r="M379" s="158"/>
      <c r="N379" s="295"/>
    </row>
    <row r="380" spans="1:14">
      <c r="A380" s="299"/>
      <c r="B380" s="158"/>
      <c r="C380" s="158"/>
      <c r="D380" s="158"/>
      <c r="E380" s="158"/>
      <c r="F380" s="158"/>
      <c r="G380" s="158"/>
      <c r="H380" s="329"/>
      <c r="I380" s="158"/>
      <c r="J380" s="158"/>
      <c r="K380" s="158"/>
      <c r="L380" s="158"/>
      <c r="M380" s="158"/>
      <c r="N380" s="295"/>
    </row>
    <row r="381" spans="1:14">
      <c r="A381" s="299"/>
      <c r="B381" s="158"/>
      <c r="C381" s="158"/>
      <c r="D381" s="158"/>
      <c r="E381" s="158"/>
      <c r="F381" s="158"/>
      <c r="G381" s="158"/>
      <c r="H381" s="329"/>
      <c r="I381" s="158"/>
      <c r="J381" s="158"/>
      <c r="K381" s="158"/>
      <c r="L381" s="158"/>
      <c r="M381" s="158"/>
      <c r="N381" s="295"/>
    </row>
    <row r="382" spans="1:14" ht="13.95" customHeight="1">
      <c r="A382" s="299"/>
      <c r="B382" s="158"/>
      <c r="C382" s="158"/>
      <c r="D382" s="158"/>
      <c r="E382" s="158"/>
      <c r="F382" s="158"/>
      <c r="G382" s="158"/>
      <c r="H382" s="329"/>
      <c r="I382" s="158"/>
      <c r="J382" s="158"/>
      <c r="K382" s="158"/>
      <c r="L382" s="158"/>
      <c r="M382" s="158"/>
      <c r="N382" s="295"/>
    </row>
    <row r="383" spans="1:14" ht="13.95" customHeight="1">
      <c r="A383" s="299"/>
      <c r="B383" s="158"/>
      <c r="C383" s="158"/>
      <c r="D383" s="158"/>
      <c r="E383" s="158"/>
      <c r="F383" s="158"/>
      <c r="G383" s="158"/>
      <c r="H383" s="329"/>
      <c r="I383" s="158"/>
      <c r="J383" s="158"/>
      <c r="K383" s="158"/>
      <c r="L383" s="158"/>
      <c r="M383" s="158"/>
      <c r="N383" s="295"/>
    </row>
    <row r="384" spans="1:14" ht="13.95" customHeight="1">
      <c r="A384" s="299"/>
      <c r="B384" s="158"/>
      <c r="C384" s="158"/>
      <c r="D384" s="158"/>
      <c r="E384" s="158"/>
      <c r="F384" s="158"/>
      <c r="G384" s="158"/>
      <c r="H384" s="329"/>
      <c r="I384" s="158"/>
      <c r="J384" s="158"/>
      <c r="K384" s="158"/>
      <c r="L384" s="158"/>
      <c r="M384" s="158"/>
      <c r="N384" s="295"/>
    </row>
    <row r="385" spans="1:14" ht="13.95" customHeight="1">
      <c r="A385" s="299"/>
      <c r="B385" s="158"/>
      <c r="C385" s="158"/>
      <c r="D385" s="158"/>
      <c r="E385" s="158"/>
      <c r="F385" s="158"/>
      <c r="G385" s="158"/>
      <c r="H385" s="329"/>
      <c r="I385" s="158"/>
      <c r="J385" s="158"/>
      <c r="K385" s="158"/>
      <c r="L385" s="158"/>
      <c r="M385" s="158"/>
      <c r="N385" s="295"/>
    </row>
    <row r="386" spans="1:14" ht="13.95" customHeight="1">
      <c r="A386" s="299"/>
      <c r="B386" s="158"/>
      <c r="C386" s="158"/>
      <c r="D386" s="158"/>
      <c r="E386" s="158"/>
      <c r="F386" s="158"/>
      <c r="G386" s="158"/>
      <c r="H386" s="329"/>
      <c r="I386" s="158"/>
      <c r="J386" s="158"/>
      <c r="K386" s="158"/>
      <c r="L386" s="158"/>
      <c r="M386" s="158"/>
      <c r="N386" s="295"/>
    </row>
    <row r="387" spans="1:14" ht="13.95" customHeight="1">
      <c r="A387" s="299"/>
      <c r="B387" s="158"/>
      <c r="C387" s="158"/>
      <c r="D387" s="158"/>
      <c r="E387" s="158"/>
      <c r="F387" s="158"/>
      <c r="G387" s="158"/>
      <c r="H387" s="329"/>
      <c r="I387" s="158"/>
      <c r="J387" s="158"/>
      <c r="K387" s="158"/>
      <c r="L387" s="158"/>
      <c r="M387" s="158"/>
      <c r="N387" s="295"/>
    </row>
    <row r="388" spans="1:14" ht="13.95" customHeight="1">
      <c r="A388" s="299"/>
      <c r="B388" s="158"/>
      <c r="C388" s="158"/>
      <c r="D388" s="158"/>
      <c r="E388" s="158"/>
      <c r="F388" s="158"/>
      <c r="G388" s="158"/>
      <c r="H388" s="329"/>
      <c r="I388" s="158"/>
      <c r="J388" s="158"/>
      <c r="K388" s="158"/>
      <c r="L388" s="158"/>
      <c r="M388" s="158"/>
      <c r="N388" s="295"/>
    </row>
    <row r="389" spans="1:14" ht="13.95" customHeight="1">
      <c r="A389" s="299"/>
      <c r="B389" s="158"/>
      <c r="C389" s="158"/>
      <c r="D389" s="158"/>
      <c r="E389" s="158"/>
      <c r="F389" s="158"/>
      <c r="G389" s="158"/>
      <c r="H389" s="329"/>
      <c r="I389" s="158"/>
      <c r="J389" s="158"/>
      <c r="K389" s="158"/>
      <c r="L389" s="158"/>
      <c r="M389" s="158"/>
      <c r="N389" s="295"/>
    </row>
    <row r="390" spans="1:14" ht="13.95" customHeight="1">
      <c r="A390" s="299"/>
      <c r="B390" s="158"/>
      <c r="C390" s="158"/>
      <c r="D390" s="158"/>
      <c r="E390" s="158"/>
      <c r="F390" s="158"/>
      <c r="G390" s="158"/>
      <c r="H390" s="329"/>
      <c r="I390" s="158"/>
      <c r="J390" s="158"/>
      <c r="K390" s="158"/>
      <c r="L390" s="158"/>
      <c r="M390" s="158"/>
      <c r="N390" s="295"/>
    </row>
    <row r="391" spans="1:14" ht="13.95" customHeight="1">
      <c r="A391" s="299"/>
      <c r="B391" s="158"/>
      <c r="C391" s="158"/>
      <c r="D391" s="158"/>
      <c r="E391" s="158"/>
      <c r="F391" s="158"/>
      <c r="G391" s="158"/>
      <c r="H391" s="329"/>
      <c r="I391" s="158"/>
      <c r="J391" s="158"/>
      <c r="K391" s="158"/>
      <c r="L391" s="158"/>
      <c r="M391" s="158"/>
      <c r="N391" s="295"/>
    </row>
    <row r="392" spans="1:14" ht="13.95" customHeight="1">
      <c r="A392" s="299"/>
      <c r="B392" s="158"/>
      <c r="C392" s="158"/>
      <c r="D392" s="158"/>
      <c r="E392" s="158"/>
      <c r="F392" s="158"/>
      <c r="G392" s="158"/>
      <c r="H392" s="329"/>
      <c r="I392" s="158"/>
      <c r="J392" s="158"/>
      <c r="K392" s="158"/>
      <c r="L392" s="158"/>
      <c r="M392" s="158"/>
      <c r="N392" s="295"/>
    </row>
    <row r="393" spans="1:14" ht="13.95" customHeight="1">
      <c r="A393" s="299"/>
      <c r="B393" s="158"/>
      <c r="C393" s="158"/>
      <c r="D393" s="158"/>
      <c r="E393" s="158"/>
      <c r="F393" s="158"/>
      <c r="G393" s="158"/>
      <c r="H393" s="329"/>
      <c r="I393" s="158"/>
      <c r="J393" s="158"/>
      <c r="K393" s="158"/>
      <c r="L393" s="158"/>
      <c r="M393" s="158"/>
      <c r="N393" s="295"/>
    </row>
    <row r="394" spans="1:14" ht="13.95" customHeight="1">
      <c r="A394" s="299"/>
      <c r="B394" s="158"/>
      <c r="C394" s="158"/>
      <c r="D394" s="158"/>
      <c r="E394" s="158"/>
      <c r="F394" s="158"/>
      <c r="G394" s="158"/>
      <c r="H394" s="329"/>
      <c r="I394" s="158"/>
      <c r="J394" s="158"/>
      <c r="K394" s="158"/>
      <c r="L394" s="158"/>
      <c r="M394" s="158"/>
      <c r="N394" s="295"/>
    </row>
    <row r="395" spans="1:14" ht="13.95" customHeight="1">
      <c r="A395" s="299"/>
      <c r="B395" s="158"/>
      <c r="C395" s="158"/>
      <c r="D395" s="158"/>
      <c r="E395" s="158"/>
      <c r="F395" s="158"/>
      <c r="G395" s="158"/>
      <c r="H395" s="329"/>
      <c r="I395" s="158"/>
      <c r="J395" s="158"/>
      <c r="K395" s="158"/>
      <c r="L395" s="158"/>
      <c r="M395" s="158"/>
      <c r="N395" s="295"/>
    </row>
    <row r="396" spans="1:14" ht="13.95" customHeight="1">
      <c r="A396" s="299"/>
      <c r="B396" s="158"/>
      <c r="C396" s="158"/>
      <c r="D396" s="158"/>
      <c r="E396" s="158"/>
      <c r="F396" s="158"/>
      <c r="G396" s="158"/>
      <c r="H396" s="329"/>
      <c r="I396" s="158"/>
      <c r="J396" s="158"/>
      <c r="K396" s="158"/>
      <c r="L396" s="158"/>
      <c r="M396" s="158"/>
      <c r="N396" s="295"/>
    </row>
    <row r="397" spans="1:14" ht="13.95" customHeight="1">
      <c r="A397" s="299"/>
      <c r="B397" s="158"/>
      <c r="C397" s="158"/>
      <c r="D397" s="158"/>
      <c r="E397" s="158"/>
      <c r="F397" s="158"/>
      <c r="G397" s="158"/>
      <c r="H397" s="329"/>
      <c r="I397" s="158"/>
      <c r="J397" s="158"/>
      <c r="K397" s="158"/>
      <c r="L397" s="158"/>
      <c r="M397" s="158"/>
      <c r="N397" s="295"/>
    </row>
    <row r="398" spans="1:14" ht="13.95" customHeight="1">
      <c r="A398" s="299"/>
      <c r="B398" s="158"/>
      <c r="C398" s="158"/>
      <c r="D398" s="158"/>
      <c r="E398" s="158"/>
      <c r="F398" s="158"/>
      <c r="G398" s="158"/>
      <c r="H398" s="329"/>
      <c r="I398" s="158"/>
      <c r="J398" s="158"/>
      <c r="K398" s="158"/>
      <c r="L398" s="158"/>
      <c r="M398" s="158"/>
      <c r="N398" s="295"/>
    </row>
    <row r="399" spans="1:14" ht="13.95" customHeight="1">
      <c r="A399" s="299"/>
      <c r="B399" s="158"/>
      <c r="C399" s="158"/>
      <c r="D399" s="158"/>
      <c r="E399" s="158"/>
      <c r="F399" s="158"/>
      <c r="G399" s="158"/>
      <c r="H399" s="329"/>
      <c r="I399" s="158"/>
      <c r="J399" s="158"/>
      <c r="K399" s="158"/>
      <c r="L399" s="158"/>
      <c r="M399" s="158"/>
      <c r="N399" s="295"/>
    </row>
    <row r="400" spans="1:14" ht="13.95" customHeight="1">
      <c r="A400" s="299"/>
      <c r="B400" s="158"/>
      <c r="C400" s="158"/>
      <c r="D400" s="158"/>
      <c r="E400" s="158"/>
      <c r="F400" s="158"/>
      <c r="G400" s="158"/>
      <c r="H400" s="329"/>
      <c r="I400" s="158"/>
      <c r="J400" s="158"/>
      <c r="K400" s="158"/>
      <c r="L400" s="158"/>
      <c r="M400" s="158"/>
      <c r="N400" s="295"/>
    </row>
    <row r="401" spans="1:14" ht="13.95" customHeight="1">
      <c r="A401" s="299"/>
      <c r="B401" s="158"/>
      <c r="C401" s="158"/>
      <c r="D401" s="158"/>
      <c r="E401" s="158"/>
      <c r="F401" s="158"/>
      <c r="G401" s="158"/>
      <c r="H401" s="329"/>
      <c r="I401" s="158"/>
      <c r="J401" s="158"/>
      <c r="K401" s="158"/>
      <c r="L401" s="158"/>
      <c r="M401" s="158"/>
      <c r="N401" s="295"/>
    </row>
    <row r="402" spans="1:14" ht="13.95" customHeight="1">
      <c r="A402" s="299"/>
      <c r="B402" s="158"/>
      <c r="C402" s="158"/>
      <c r="D402" s="158"/>
      <c r="E402" s="158"/>
      <c r="F402" s="158"/>
      <c r="G402" s="158"/>
      <c r="H402" s="329"/>
      <c r="I402" s="158"/>
      <c r="J402" s="158"/>
      <c r="K402" s="158"/>
      <c r="L402" s="158"/>
      <c r="M402" s="158"/>
      <c r="N402" s="295"/>
    </row>
    <row r="403" spans="1:14">
      <c r="A403" s="299"/>
      <c r="B403" s="158"/>
      <c r="C403" s="158"/>
      <c r="D403" s="158"/>
      <c r="E403" s="158"/>
      <c r="F403" s="158"/>
      <c r="G403" s="158"/>
      <c r="H403" s="329"/>
      <c r="I403" s="158"/>
      <c r="J403" s="158"/>
      <c r="K403" s="158"/>
      <c r="L403" s="158"/>
      <c r="M403" s="158"/>
      <c r="N403" s="295"/>
    </row>
    <row r="404" spans="1:14" ht="14.4" customHeight="1">
      <c r="A404" s="299"/>
      <c r="B404" s="158"/>
      <c r="C404" s="158"/>
      <c r="D404" s="158"/>
      <c r="E404" s="158"/>
      <c r="F404" s="158"/>
      <c r="G404" s="158"/>
      <c r="H404" s="329"/>
      <c r="I404" s="158"/>
      <c r="J404" s="158"/>
      <c r="K404" s="158"/>
      <c r="L404" s="158"/>
      <c r="M404" s="158"/>
      <c r="N404" s="295"/>
    </row>
    <row r="405" spans="1:14" ht="13.95" customHeight="1">
      <c r="A405" s="299"/>
      <c r="B405" s="158"/>
      <c r="C405" s="158"/>
      <c r="D405" s="158"/>
      <c r="E405" s="158"/>
      <c r="F405" s="158"/>
      <c r="G405" s="158"/>
      <c r="H405" s="329"/>
      <c r="I405" s="158"/>
      <c r="J405" s="158"/>
      <c r="K405" s="158"/>
      <c r="L405" s="158"/>
      <c r="M405" s="158"/>
      <c r="N405" s="295"/>
    </row>
    <row r="406" spans="1:14" ht="14.4" customHeight="1">
      <c r="A406" s="299"/>
      <c r="B406" s="158"/>
      <c r="C406" s="158"/>
      <c r="D406" s="158"/>
      <c r="E406" s="158"/>
      <c r="F406" s="158"/>
      <c r="G406" s="158"/>
      <c r="H406" s="329"/>
      <c r="I406" s="158"/>
      <c r="J406" s="158"/>
      <c r="K406" s="158"/>
      <c r="L406" s="158"/>
      <c r="M406" s="158"/>
      <c r="N406" s="295"/>
    </row>
    <row r="407" spans="1:14" ht="14.4" customHeight="1">
      <c r="A407" s="299"/>
      <c r="B407" s="158"/>
      <c r="C407" s="158"/>
      <c r="D407" s="158"/>
      <c r="E407" s="158"/>
      <c r="F407" s="158"/>
      <c r="G407" s="158"/>
      <c r="H407" s="329"/>
      <c r="I407" s="158"/>
      <c r="J407" s="158"/>
      <c r="K407" s="158"/>
      <c r="L407" s="158"/>
      <c r="M407" s="158"/>
      <c r="N407" s="295"/>
    </row>
    <row r="408" spans="1:14" ht="13.95" customHeight="1">
      <c r="A408" s="299"/>
      <c r="B408" s="158"/>
      <c r="C408" s="158"/>
      <c r="D408" s="158"/>
      <c r="E408" s="158"/>
      <c r="F408" s="158"/>
      <c r="G408" s="158"/>
      <c r="H408" s="329"/>
      <c r="I408" s="158"/>
      <c r="J408" s="158"/>
      <c r="K408" s="158"/>
      <c r="L408" s="158"/>
      <c r="M408" s="158"/>
      <c r="N408" s="295"/>
    </row>
    <row r="409" spans="1:14" ht="14.4" customHeight="1">
      <c r="A409" s="299"/>
      <c r="B409" s="158"/>
      <c r="C409" s="158"/>
      <c r="D409" s="158"/>
      <c r="E409" s="158"/>
      <c r="F409" s="158"/>
      <c r="G409" s="158"/>
      <c r="H409" s="329"/>
      <c r="I409" s="158"/>
      <c r="J409" s="158"/>
      <c r="K409" s="158"/>
      <c r="L409" s="158"/>
      <c r="M409" s="158"/>
      <c r="N409" s="295"/>
    </row>
    <row r="410" spans="1:14">
      <c r="A410" s="299"/>
      <c r="B410" s="158"/>
      <c r="C410" s="158"/>
      <c r="D410" s="158"/>
      <c r="E410" s="158"/>
      <c r="F410" s="158"/>
      <c r="G410" s="158"/>
      <c r="H410" s="329"/>
      <c r="I410" s="158"/>
      <c r="J410" s="158"/>
      <c r="K410" s="158"/>
      <c r="L410" s="158"/>
      <c r="M410" s="158"/>
      <c r="N410" s="295"/>
    </row>
    <row r="411" spans="1:14">
      <c r="A411" s="299"/>
      <c r="B411" s="158"/>
      <c r="C411" s="158"/>
      <c r="D411" s="158"/>
      <c r="E411" s="158"/>
      <c r="F411" s="158"/>
      <c r="G411" s="158"/>
      <c r="H411" s="329"/>
      <c r="I411" s="158"/>
      <c r="J411" s="158"/>
      <c r="K411" s="158"/>
      <c r="L411" s="158"/>
      <c r="M411" s="158"/>
      <c r="N411" s="295"/>
    </row>
    <row r="412" spans="1:14">
      <c r="A412" s="300"/>
      <c r="B412" s="297"/>
      <c r="C412" s="297"/>
      <c r="D412" s="297"/>
      <c r="E412" s="297"/>
      <c r="F412" s="297"/>
      <c r="G412" s="297"/>
      <c r="H412" s="330"/>
      <c r="I412" s="297"/>
      <c r="J412" s="297"/>
      <c r="K412" s="297"/>
      <c r="L412" s="297"/>
      <c r="M412" s="297"/>
      <c r="N412" s="298"/>
    </row>
    <row r="413" spans="1:14" ht="30" customHeight="1">
      <c r="A413" s="301" t="s">
        <v>1148</v>
      </c>
      <c r="B413" s="945" t="s">
        <v>1170</v>
      </c>
      <c r="C413" s="945"/>
      <c r="D413" s="945"/>
      <c r="E413" s="945"/>
      <c r="F413" s="945"/>
      <c r="G413" s="945"/>
      <c r="H413" s="945"/>
      <c r="I413" s="945"/>
      <c r="J413" s="945"/>
      <c r="K413" s="945"/>
      <c r="L413" s="945"/>
      <c r="M413" s="302"/>
      <c r="N413" s="303" t="s">
        <v>1149</v>
      </c>
    </row>
    <row r="414" spans="1:14">
      <c r="A414" s="304"/>
      <c r="B414" s="305"/>
      <c r="C414" s="305"/>
      <c r="D414" s="305"/>
      <c r="E414" s="305"/>
      <c r="F414" s="305"/>
      <c r="G414" s="305"/>
      <c r="H414" s="331"/>
      <c r="I414" s="305"/>
      <c r="J414" s="305"/>
      <c r="K414" s="305"/>
      <c r="L414" s="305"/>
      <c r="M414" s="305"/>
      <c r="N414" s="306"/>
    </row>
    <row r="415" spans="1:14">
      <c r="A415" s="304"/>
      <c r="B415" s="305"/>
      <c r="C415" s="305"/>
      <c r="D415" s="305"/>
      <c r="E415" s="305"/>
      <c r="F415" s="305"/>
      <c r="G415" s="305"/>
      <c r="H415" s="331"/>
      <c r="I415" s="305"/>
      <c r="J415" s="305"/>
      <c r="K415" s="305"/>
      <c r="L415" s="305"/>
      <c r="M415" s="305"/>
      <c r="N415" s="306"/>
    </row>
    <row r="416" spans="1:14">
      <c r="A416" s="304"/>
      <c r="B416" s="305"/>
      <c r="C416" s="305"/>
      <c r="D416" s="305"/>
      <c r="E416" s="305"/>
      <c r="F416" s="305"/>
      <c r="G416" s="305"/>
      <c r="H416" s="331"/>
      <c r="I416" s="305"/>
      <c r="J416" s="305"/>
      <c r="K416" s="305"/>
      <c r="L416" s="305"/>
      <c r="M416" s="305"/>
      <c r="N416" s="306"/>
    </row>
    <row r="417" spans="1:14">
      <c r="A417" s="304"/>
      <c r="B417" s="305"/>
      <c r="C417" s="305"/>
      <c r="D417" s="305"/>
      <c r="E417" s="305"/>
      <c r="F417" s="305"/>
      <c r="G417" s="305"/>
      <c r="H417" s="331"/>
      <c r="I417" s="305"/>
      <c r="J417" s="305"/>
      <c r="K417" s="305"/>
      <c r="L417" s="305"/>
      <c r="M417" s="305"/>
      <c r="N417" s="306"/>
    </row>
    <row r="418" spans="1:14">
      <c r="A418" s="304"/>
      <c r="B418" s="305"/>
      <c r="C418" s="305"/>
      <c r="D418" s="305"/>
      <c r="E418" s="305"/>
      <c r="F418" s="305"/>
      <c r="G418" s="305"/>
      <c r="H418" s="331"/>
      <c r="I418" s="305"/>
      <c r="J418" s="305"/>
      <c r="K418" s="305"/>
      <c r="L418" s="305"/>
      <c r="M418" s="305"/>
      <c r="N418" s="306"/>
    </row>
    <row r="419" spans="1:14" ht="13.95" customHeight="1">
      <c r="A419" s="304"/>
      <c r="B419" s="305"/>
      <c r="C419" s="305"/>
      <c r="D419" s="305"/>
      <c r="E419" s="305"/>
      <c r="F419" s="305"/>
      <c r="G419" s="305"/>
      <c r="H419" s="331"/>
      <c r="I419" s="305"/>
      <c r="J419" s="305"/>
      <c r="K419" s="305"/>
      <c r="L419" s="305"/>
      <c r="M419" s="305"/>
      <c r="N419" s="306"/>
    </row>
    <row r="420" spans="1:14">
      <c r="A420" s="304"/>
      <c r="B420" s="305"/>
      <c r="C420" s="305"/>
      <c r="D420" s="305"/>
      <c r="E420" s="305"/>
      <c r="F420" s="305"/>
      <c r="G420" s="305"/>
      <c r="H420" s="331"/>
      <c r="I420" s="305"/>
      <c r="J420" s="305"/>
      <c r="K420" s="305"/>
      <c r="L420" s="305"/>
      <c r="M420" s="305"/>
      <c r="N420" s="306"/>
    </row>
    <row r="421" spans="1:14">
      <c r="A421" s="304"/>
      <c r="B421" s="305"/>
      <c r="C421" s="305"/>
      <c r="D421" s="305"/>
      <c r="E421" s="305"/>
      <c r="F421" s="305"/>
      <c r="G421" s="305"/>
      <c r="H421" s="331"/>
      <c r="I421" s="305"/>
      <c r="J421" s="305"/>
      <c r="K421" s="305"/>
      <c r="L421" s="305"/>
      <c r="M421" s="305"/>
      <c r="N421" s="306"/>
    </row>
    <row r="422" spans="1:14" ht="13.95" customHeight="1">
      <c r="A422" s="304"/>
      <c r="B422" s="305"/>
      <c r="C422" s="305"/>
      <c r="D422" s="305"/>
      <c r="E422" s="305"/>
      <c r="F422" s="305"/>
      <c r="G422" s="305"/>
      <c r="H422" s="331"/>
      <c r="I422" s="305"/>
      <c r="J422" s="305"/>
      <c r="K422" s="305"/>
      <c r="L422" s="305"/>
      <c r="M422" s="305"/>
      <c r="N422" s="306"/>
    </row>
    <row r="423" spans="1:14" ht="13.95" customHeight="1">
      <c r="A423" s="304"/>
      <c r="B423" s="305"/>
      <c r="C423" s="305"/>
      <c r="D423" s="305"/>
      <c r="E423" s="305"/>
      <c r="F423" s="305"/>
      <c r="G423" s="305"/>
      <c r="H423" s="331"/>
      <c r="I423" s="305"/>
      <c r="J423" s="305"/>
      <c r="K423" s="305"/>
      <c r="L423" s="305"/>
      <c r="M423" s="305"/>
      <c r="N423" s="306"/>
    </row>
    <row r="424" spans="1:14">
      <c r="A424" s="304"/>
      <c r="B424" s="305"/>
      <c r="C424" s="305"/>
      <c r="D424" s="305"/>
      <c r="E424" s="305"/>
      <c r="F424" s="305"/>
      <c r="G424" s="305"/>
      <c r="H424" s="331"/>
      <c r="I424" s="305"/>
      <c r="J424" s="305"/>
      <c r="K424" s="305"/>
      <c r="L424" s="305"/>
      <c r="M424" s="305"/>
      <c r="N424" s="306"/>
    </row>
    <row r="425" spans="1:14">
      <c r="A425" s="304"/>
      <c r="B425" s="305"/>
      <c r="C425" s="305"/>
      <c r="D425" s="305"/>
      <c r="E425" s="305"/>
      <c r="F425" s="305"/>
      <c r="G425" s="305"/>
      <c r="H425" s="331"/>
      <c r="I425" s="305"/>
      <c r="J425" s="305"/>
      <c r="K425" s="305"/>
      <c r="L425" s="305"/>
      <c r="M425" s="305"/>
      <c r="N425" s="306"/>
    </row>
    <row r="426" spans="1:14" ht="13.95" customHeight="1">
      <c r="A426" s="304"/>
      <c r="B426" s="305"/>
      <c r="C426" s="305"/>
      <c r="D426" s="305"/>
      <c r="E426" s="305"/>
      <c r="F426" s="305"/>
      <c r="G426" s="305"/>
      <c r="H426" s="331"/>
      <c r="I426" s="305"/>
      <c r="J426" s="305"/>
      <c r="K426" s="305"/>
      <c r="L426" s="305"/>
      <c r="M426" s="305"/>
      <c r="N426" s="306"/>
    </row>
    <row r="427" spans="1:14" ht="13.95" customHeight="1">
      <c r="A427" s="304"/>
      <c r="B427" s="305"/>
      <c r="C427" s="305"/>
      <c r="D427" s="305"/>
      <c r="E427" s="305"/>
      <c r="F427" s="305"/>
      <c r="G427" s="305"/>
      <c r="H427" s="331"/>
      <c r="I427" s="305"/>
      <c r="J427" s="305"/>
      <c r="K427" s="305"/>
      <c r="L427" s="305"/>
      <c r="M427" s="305"/>
      <c r="N427" s="306"/>
    </row>
    <row r="428" spans="1:14">
      <c r="A428" s="304"/>
      <c r="B428" s="305"/>
      <c r="C428" s="305"/>
      <c r="D428" s="305"/>
      <c r="E428" s="305"/>
      <c r="F428" s="305"/>
      <c r="G428" s="305"/>
      <c r="H428" s="331"/>
      <c r="I428" s="305"/>
      <c r="J428" s="305"/>
      <c r="K428" s="305"/>
      <c r="L428" s="305"/>
      <c r="M428" s="305"/>
      <c r="N428" s="306"/>
    </row>
    <row r="429" spans="1:14">
      <c r="A429" s="304"/>
      <c r="B429" s="305"/>
      <c r="C429" s="305"/>
      <c r="D429" s="305"/>
      <c r="E429" s="305"/>
      <c r="F429" s="305"/>
      <c r="G429" s="305"/>
      <c r="H429" s="331"/>
      <c r="I429" s="305"/>
      <c r="J429" s="305"/>
      <c r="K429" s="305"/>
      <c r="L429" s="305"/>
      <c r="M429" s="305"/>
      <c r="N429" s="306"/>
    </row>
    <row r="430" spans="1:14" ht="13.95" customHeight="1">
      <c r="A430" s="304"/>
      <c r="B430" s="305"/>
      <c r="C430" s="305"/>
      <c r="D430" s="305"/>
      <c r="E430" s="305"/>
      <c r="F430" s="305"/>
      <c r="G430" s="305"/>
      <c r="H430" s="331"/>
      <c r="I430" s="305"/>
      <c r="J430" s="305"/>
      <c r="K430" s="305"/>
      <c r="L430" s="305"/>
      <c r="M430" s="305"/>
      <c r="N430" s="306"/>
    </row>
    <row r="431" spans="1:14" ht="13.95" customHeight="1">
      <c r="A431" s="304"/>
      <c r="B431" s="305"/>
      <c r="C431" s="305"/>
      <c r="D431" s="305"/>
      <c r="E431" s="305"/>
      <c r="F431" s="305"/>
      <c r="G431" s="305"/>
      <c r="H431" s="331"/>
      <c r="I431" s="305"/>
      <c r="J431" s="305"/>
      <c r="K431" s="305"/>
      <c r="L431" s="305"/>
      <c r="M431" s="305"/>
      <c r="N431" s="306"/>
    </row>
    <row r="432" spans="1:14">
      <c r="A432" s="304"/>
      <c r="B432" s="305"/>
      <c r="C432" s="305"/>
      <c r="D432" s="305"/>
      <c r="E432" s="305"/>
      <c r="F432" s="305"/>
      <c r="G432" s="305"/>
      <c r="H432" s="331"/>
      <c r="I432" s="305"/>
      <c r="J432" s="305"/>
      <c r="K432" s="305"/>
      <c r="L432" s="305"/>
      <c r="M432" s="305"/>
      <c r="N432" s="306"/>
    </row>
    <row r="433" spans="1:14">
      <c r="A433" s="304"/>
      <c r="B433" s="305"/>
      <c r="C433" s="305"/>
      <c r="D433" s="305"/>
      <c r="E433" s="305"/>
      <c r="F433" s="305"/>
      <c r="G433" s="305"/>
      <c r="H433" s="331"/>
      <c r="I433" s="305"/>
      <c r="J433" s="305"/>
      <c r="K433" s="305"/>
      <c r="L433" s="305"/>
      <c r="M433" s="305"/>
      <c r="N433" s="306"/>
    </row>
    <row r="434" spans="1:14" ht="13.95" customHeight="1">
      <c r="A434" s="304"/>
      <c r="B434" s="305"/>
      <c r="C434" s="305"/>
      <c r="D434" s="305"/>
      <c r="E434" s="305"/>
      <c r="F434" s="305"/>
      <c r="G434" s="305"/>
      <c r="H434" s="331"/>
      <c r="I434" s="305"/>
      <c r="J434" s="305"/>
      <c r="K434" s="305"/>
      <c r="L434" s="305"/>
      <c r="M434" s="305"/>
      <c r="N434" s="306"/>
    </row>
    <row r="435" spans="1:14" ht="13.95" customHeight="1">
      <c r="A435" s="304"/>
      <c r="B435" s="305"/>
      <c r="C435" s="305"/>
      <c r="D435" s="305"/>
      <c r="E435" s="305"/>
      <c r="F435" s="305"/>
      <c r="G435" s="305"/>
      <c r="H435" s="331"/>
      <c r="I435" s="305"/>
      <c r="J435" s="305"/>
      <c r="K435" s="305"/>
      <c r="L435" s="305"/>
      <c r="M435" s="305"/>
      <c r="N435" s="306"/>
    </row>
    <row r="436" spans="1:14">
      <c r="A436" s="304"/>
      <c r="B436" s="305"/>
      <c r="C436" s="305"/>
      <c r="D436" s="305"/>
      <c r="E436" s="305"/>
      <c r="F436" s="305"/>
      <c r="G436" s="305"/>
      <c r="H436" s="331"/>
      <c r="I436" s="305"/>
      <c r="J436" s="305"/>
      <c r="K436" s="305"/>
      <c r="L436" s="305"/>
      <c r="M436" s="305"/>
      <c r="N436" s="306"/>
    </row>
    <row r="437" spans="1:14">
      <c r="A437" s="304"/>
      <c r="B437" s="305"/>
      <c r="C437" s="305"/>
      <c r="D437" s="305"/>
      <c r="E437" s="305"/>
      <c r="F437" s="305"/>
      <c r="G437" s="305"/>
      <c r="H437" s="331"/>
      <c r="I437" s="305"/>
      <c r="J437" s="305"/>
      <c r="K437" s="305"/>
      <c r="L437" s="305"/>
      <c r="M437" s="305"/>
      <c r="N437" s="306"/>
    </row>
    <row r="438" spans="1:14" ht="13.95" customHeight="1">
      <c r="A438" s="304"/>
      <c r="B438" s="305"/>
      <c r="C438" s="305"/>
      <c r="D438" s="305"/>
      <c r="E438" s="305"/>
      <c r="F438" s="305"/>
      <c r="G438" s="305"/>
      <c r="H438" s="331"/>
      <c r="I438" s="305"/>
      <c r="J438" s="305"/>
      <c r="K438" s="305"/>
      <c r="L438" s="305"/>
      <c r="M438" s="305"/>
      <c r="N438" s="306"/>
    </row>
    <row r="439" spans="1:14">
      <c r="A439" s="304"/>
      <c r="B439" s="305"/>
      <c r="C439" s="305"/>
      <c r="D439" s="305"/>
      <c r="E439" s="305"/>
      <c r="F439" s="305"/>
      <c r="G439" s="305"/>
      <c r="H439" s="331"/>
      <c r="I439" s="305"/>
      <c r="J439" s="305"/>
      <c r="K439" s="305"/>
      <c r="L439" s="305"/>
      <c r="M439" s="305"/>
      <c r="N439" s="306"/>
    </row>
    <row r="440" spans="1:14" ht="13.95" customHeight="1">
      <c r="A440" s="304"/>
      <c r="B440" s="305"/>
      <c r="C440" s="305"/>
      <c r="D440" s="305"/>
      <c r="E440" s="305"/>
      <c r="F440" s="305"/>
      <c r="G440" s="305"/>
      <c r="H440" s="331"/>
      <c r="I440" s="305"/>
      <c r="J440" s="305"/>
      <c r="K440" s="305"/>
      <c r="L440" s="305"/>
      <c r="M440" s="305"/>
      <c r="N440" s="306"/>
    </row>
    <row r="441" spans="1:14">
      <c r="A441" s="304"/>
      <c r="B441" s="305"/>
      <c r="C441" s="305"/>
      <c r="D441" s="305"/>
      <c r="E441" s="305"/>
      <c r="F441" s="305"/>
      <c r="G441" s="305"/>
      <c r="H441" s="331"/>
      <c r="I441" s="305"/>
      <c r="J441" s="305"/>
      <c r="K441" s="305"/>
      <c r="L441" s="305"/>
      <c r="M441" s="305"/>
      <c r="N441" s="306"/>
    </row>
    <row r="442" spans="1:14">
      <c r="A442" s="304"/>
      <c r="B442" s="305"/>
      <c r="C442" s="305"/>
      <c r="D442" s="305"/>
      <c r="E442" s="305"/>
      <c r="F442" s="305"/>
      <c r="G442" s="305"/>
      <c r="H442" s="331"/>
      <c r="I442" s="305"/>
      <c r="J442" s="305"/>
      <c r="K442" s="305"/>
      <c r="L442" s="305"/>
      <c r="M442" s="305"/>
      <c r="N442" s="306"/>
    </row>
    <row r="443" spans="1:14">
      <c r="A443" s="304"/>
      <c r="B443" s="305"/>
      <c r="C443" s="305"/>
      <c r="D443" s="305"/>
      <c r="E443" s="305"/>
      <c r="F443" s="305"/>
      <c r="G443" s="305"/>
      <c r="H443" s="331"/>
      <c r="I443" s="305"/>
      <c r="J443" s="305"/>
      <c r="K443" s="305"/>
      <c r="L443" s="305"/>
      <c r="M443" s="305"/>
      <c r="N443" s="306"/>
    </row>
    <row r="444" spans="1:14" ht="13.95" customHeight="1">
      <c r="A444" s="304"/>
      <c r="B444" s="305"/>
      <c r="C444" s="305"/>
      <c r="D444" s="305"/>
      <c r="E444" s="305"/>
      <c r="F444" s="305"/>
      <c r="G444" s="305"/>
      <c r="H444" s="331"/>
      <c r="I444" s="305"/>
      <c r="J444" s="305"/>
      <c r="K444" s="305"/>
      <c r="L444" s="305"/>
      <c r="M444" s="305"/>
      <c r="N444" s="306"/>
    </row>
    <row r="445" spans="1:14">
      <c r="A445" s="304"/>
      <c r="B445" s="305"/>
      <c r="C445" s="305"/>
      <c r="D445" s="305"/>
      <c r="E445" s="305"/>
      <c r="F445" s="305"/>
      <c r="G445" s="305"/>
      <c r="H445" s="331"/>
      <c r="I445" s="305"/>
      <c r="J445" s="305"/>
      <c r="K445" s="305"/>
      <c r="L445" s="305"/>
      <c r="M445" s="305"/>
      <c r="N445" s="306"/>
    </row>
    <row r="446" spans="1:14">
      <c r="A446" s="304"/>
      <c r="B446" s="305"/>
      <c r="C446" s="305"/>
      <c r="D446" s="305"/>
      <c r="E446" s="305"/>
      <c r="F446" s="305"/>
      <c r="G446" s="305"/>
      <c r="H446" s="331"/>
      <c r="I446" s="305"/>
      <c r="J446" s="305"/>
      <c r="K446" s="305"/>
      <c r="L446" s="305"/>
      <c r="M446" s="305"/>
      <c r="N446" s="306"/>
    </row>
    <row r="447" spans="1:14">
      <c r="A447" s="304"/>
      <c r="B447" s="305"/>
      <c r="C447" s="305"/>
      <c r="D447" s="305"/>
      <c r="E447" s="305"/>
      <c r="F447" s="305"/>
      <c r="G447" s="305"/>
      <c r="H447" s="331"/>
      <c r="I447" s="305"/>
      <c r="J447" s="305"/>
      <c r="K447" s="305"/>
      <c r="L447" s="305"/>
      <c r="M447" s="305"/>
      <c r="N447" s="306"/>
    </row>
    <row r="448" spans="1:14" ht="13.95" customHeight="1">
      <c r="A448" s="304"/>
      <c r="B448" s="305"/>
      <c r="C448" s="305"/>
      <c r="D448" s="305"/>
      <c r="E448" s="305"/>
      <c r="F448" s="305"/>
      <c r="G448" s="305"/>
      <c r="H448" s="331"/>
      <c r="I448" s="305"/>
      <c r="J448" s="305"/>
      <c r="K448" s="305"/>
      <c r="L448" s="305"/>
      <c r="M448" s="305"/>
      <c r="N448" s="306"/>
    </row>
    <row r="449" spans="1:14">
      <c r="A449" s="304"/>
      <c r="B449" s="305"/>
      <c r="C449" s="305"/>
      <c r="D449" s="305"/>
      <c r="E449" s="305"/>
      <c r="F449" s="305"/>
      <c r="G449" s="305"/>
      <c r="H449" s="331"/>
      <c r="I449" s="305"/>
      <c r="J449" s="305"/>
      <c r="K449" s="305"/>
      <c r="L449" s="305"/>
      <c r="M449" s="305"/>
      <c r="N449" s="306"/>
    </row>
    <row r="450" spans="1:14">
      <c r="A450" s="304"/>
      <c r="B450" s="305"/>
      <c r="C450" s="305"/>
      <c r="D450" s="305"/>
      <c r="E450" s="305"/>
      <c r="F450" s="305"/>
      <c r="G450" s="305"/>
      <c r="H450" s="331"/>
      <c r="I450" s="305"/>
      <c r="J450" s="305"/>
      <c r="K450" s="305"/>
      <c r="L450" s="305"/>
      <c r="M450" s="305"/>
      <c r="N450" s="306"/>
    </row>
    <row r="451" spans="1:14">
      <c r="A451" s="304"/>
      <c r="B451" s="305"/>
      <c r="C451" s="305"/>
      <c r="D451" s="305"/>
      <c r="E451" s="305"/>
      <c r="F451" s="305"/>
      <c r="G451" s="305"/>
      <c r="H451" s="331"/>
      <c r="I451" s="305"/>
      <c r="J451" s="305"/>
      <c r="K451" s="305"/>
      <c r="L451" s="305"/>
      <c r="M451" s="305"/>
      <c r="N451" s="306"/>
    </row>
    <row r="452" spans="1:14" ht="13.95" customHeight="1">
      <c r="A452" s="304"/>
      <c r="B452" s="305"/>
      <c r="C452" s="305"/>
      <c r="D452" s="305"/>
      <c r="E452" s="305"/>
      <c r="F452" s="305"/>
      <c r="G452" s="305"/>
      <c r="H452" s="331"/>
      <c r="I452" s="305"/>
      <c r="J452" s="305"/>
      <c r="K452" s="305"/>
      <c r="L452" s="305"/>
      <c r="M452" s="305"/>
      <c r="N452" s="306"/>
    </row>
    <row r="453" spans="1:14">
      <c r="A453" s="304"/>
      <c r="B453" s="305"/>
      <c r="C453" s="305"/>
      <c r="D453" s="305"/>
      <c r="E453" s="305"/>
      <c r="F453" s="305"/>
      <c r="G453" s="305"/>
      <c r="H453" s="331"/>
      <c r="I453" s="305"/>
      <c r="J453" s="305"/>
      <c r="K453" s="305"/>
      <c r="L453" s="305"/>
      <c r="M453" s="305"/>
      <c r="N453" s="306"/>
    </row>
    <row r="454" spans="1:14">
      <c r="A454" s="304"/>
      <c r="B454" s="305"/>
      <c r="C454" s="305"/>
      <c r="D454" s="305"/>
      <c r="E454" s="305"/>
      <c r="F454" s="305"/>
      <c r="G454" s="305"/>
      <c r="H454" s="331"/>
      <c r="I454" s="305"/>
      <c r="J454" s="305"/>
      <c r="K454" s="305"/>
      <c r="L454" s="305"/>
      <c r="M454" s="305"/>
      <c r="N454" s="306"/>
    </row>
    <row r="455" spans="1:14">
      <c r="A455" s="304"/>
      <c r="B455" s="305"/>
      <c r="C455" s="305"/>
      <c r="D455" s="305"/>
      <c r="E455" s="305"/>
      <c r="F455" s="305"/>
      <c r="G455" s="305"/>
      <c r="H455" s="331"/>
      <c r="I455" s="305"/>
      <c r="J455" s="305"/>
      <c r="K455" s="305"/>
      <c r="L455" s="305"/>
      <c r="M455" s="305"/>
      <c r="N455" s="306"/>
    </row>
    <row r="456" spans="1:14" ht="13.95" customHeight="1">
      <c r="A456" s="304"/>
      <c r="B456" s="305"/>
      <c r="C456" s="305"/>
      <c r="D456" s="305"/>
      <c r="E456" s="305"/>
      <c r="F456" s="305"/>
      <c r="G456" s="305"/>
      <c r="H456" s="331"/>
      <c r="I456" s="305"/>
      <c r="J456" s="305"/>
      <c r="K456" s="305"/>
      <c r="L456" s="305"/>
      <c r="M456" s="305"/>
      <c r="N456" s="306"/>
    </row>
    <row r="457" spans="1:14" ht="13.95" customHeight="1">
      <c r="A457" s="304"/>
      <c r="B457" s="305"/>
      <c r="C457" s="305"/>
      <c r="D457" s="305"/>
      <c r="E457" s="305"/>
      <c r="F457" s="305"/>
      <c r="G457" s="305"/>
      <c r="H457" s="331"/>
      <c r="I457" s="305"/>
      <c r="J457" s="305"/>
      <c r="K457" s="305"/>
      <c r="L457" s="305"/>
      <c r="M457" s="305"/>
      <c r="N457" s="306"/>
    </row>
    <row r="458" spans="1:14">
      <c r="A458" s="304"/>
      <c r="B458" s="305"/>
      <c r="C458" s="305"/>
      <c r="D458" s="305"/>
      <c r="E458" s="305"/>
      <c r="F458" s="305"/>
      <c r="G458" s="305"/>
      <c r="H458" s="331"/>
      <c r="I458" s="305"/>
      <c r="J458" s="305"/>
      <c r="K458" s="305"/>
      <c r="L458" s="305"/>
      <c r="M458" s="305"/>
      <c r="N458" s="306"/>
    </row>
    <row r="459" spans="1:14">
      <c r="A459" s="307"/>
      <c r="B459" s="308"/>
      <c r="C459" s="308"/>
      <c r="D459" s="308"/>
      <c r="E459" s="308"/>
      <c r="F459" s="308"/>
      <c r="G459" s="308"/>
      <c r="H459" s="332"/>
      <c r="I459" s="308"/>
      <c r="J459" s="308"/>
      <c r="K459" s="308"/>
      <c r="L459" s="308"/>
      <c r="M459" s="308"/>
      <c r="N459" s="309"/>
    </row>
    <row r="460" spans="1:14" ht="30" customHeight="1">
      <c r="A460" s="250" t="s">
        <v>1148</v>
      </c>
      <c r="B460" s="944" t="s">
        <v>1131</v>
      </c>
      <c r="C460" s="944"/>
      <c r="D460" s="944"/>
      <c r="E460" s="944"/>
      <c r="F460" s="944"/>
      <c r="G460" s="944"/>
      <c r="H460" s="944"/>
      <c r="I460" s="944"/>
      <c r="J460" s="944"/>
      <c r="K460" s="944"/>
      <c r="L460" s="944"/>
      <c r="M460" s="251"/>
      <c r="N460" s="252" t="s">
        <v>1149</v>
      </c>
    </row>
    <row r="461" spans="1:14">
      <c r="A461" s="299"/>
      <c r="B461" s="158"/>
      <c r="C461" s="158"/>
      <c r="D461" s="158"/>
      <c r="E461" s="158"/>
      <c r="F461" s="158"/>
      <c r="G461" s="158"/>
      <c r="H461" s="329"/>
      <c r="I461" s="158"/>
      <c r="J461" s="158"/>
      <c r="K461" s="158"/>
      <c r="L461" s="158"/>
      <c r="M461" s="158"/>
      <c r="N461" s="295"/>
    </row>
    <row r="462" spans="1:14">
      <c r="A462" s="299"/>
      <c r="B462" s="158"/>
      <c r="C462" s="158"/>
      <c r="D462" s="158"/>
      <c r="E462" s="158"/>
      <c r="F462" s="158"/>
      <c r="G462" s="158"/>
      <c r="H462" s="329"/>
      <c r="I462" s="158"/>
      <c r="J462" s="158"/>
      <c r="K462" s="158"/>
      <c r="L462" s="158"/>
      <c r="M462" s="158"/>
      <c r="N462" s="295"/>
    </row>
    <row r="463" spans="1:14">
      <c r="A463" s="299"/>
      <c r="B463" s="158"/>
      <c r="C463" s="158"/>
      <c r="D463" s="158"/>
      <c r="E463" s="158"/>
      <c r="F463" s="158"/>
      <c r="G463" s="158"/>
      <c r="H463" s="329"/>
      <c r="I463" s="158"/>
      <c r="J463" s="158"/>
      <c r="K463" s="158"/>
      <c r="L463" s="158"/>
      <c r="M463" s="158"/>
      <c r="N463" s="295"/>
    </row>
    <row r="464" spans="1:14">
      <c r="A464" s="299"/>
      <c r="B464" s="158"/>
      <c r="C464" s="158"/>
      <c r="D464" s="158"/>
      <c r="E464" s="158"/>
      <c r="F464" s="158"/>
      <c r="G464" s="158"/>
      <c r="H464" s="329"/>
      <c r="I464" s="158"/>
      <c r="J464" s="158"/>
      <c r="K464" s="158"/>
      <c r="L464" s="158"/>
      <c r="M464" s="158"/>
      <c r="N464" s="295"/>
    </row>
    <row r="465" spans="1:14">
      <c r="A465" s="299"/>
      <c r="B465" s="158"/>
      <c r="C465" s="158"/>
      <c r="D465" s="158"/>
      <c r="E465" s="158"/>
      <c r="F465" s="158"/>
      <c r="G465" s="158"/>
      <c r="H465" s="329"/>
      <c r="I465" s="158"/>
      <c r="J465" s="158"/>
      <c r="K465" s="158"/>
      <c r="L465" s="158"/>
      <c r="M465" s="158"/>
      <c r="N465" s="295"/>
    </row>
    <row r="466" spans="1:14" ht="13.95" customHeight="1">
      <c r="A466" s="299"/>
      <c r="B466" s="158"/>
      <c r="C466" s="158"/>
      <c r="D466" s="158"/>
      <c r="E466" s="158"/>
      <c r="F466" s="158"/>
      <c r="G466" s="158"/>
      <c r="H466" s="329"/>
      <c r="I466" s="158"/>
      <c r="J466" s="158"/>
      <c r="K466" s="158"/>
      <c r="L466" s="158"/>
      <c r="M466" s="158"/>
      <c r="N466" s="295"/>
    </row>
    <row r="467" spans="1:14">
      <c r="A467" s="299"/>
      <c r="B467" s="158"/>
      <c r="C467" s="158"/>
      <c r="D467" s="158"/>
      <c r="E467" s="158"/>
      <c r="F467" s="158"/>
      <c r="G467" s="158"/>
      <c r="H467" s="329"/>
      <c r="I467" s="158"/>
      <c r="J467" s="158"/>
      <c r="K467" s="158"/>
      <c r="L467" s="158"/>
      <c r="M467" s="158"/>
      <c r="N467" s="295"/>
    </row>
    <row r="468" spans="1:14">
      <c r="A468" s="299"/>
      <c r="B468" s="158"/>
      <c r="C468" s="158"/>
      <c r="D468" s="158"/>
      <c r="E468" s="158"/>
      <c r="F468" s="158"/>
      <c r="G468" s="158"/>
      <c r="H468" s="329"/>
      <c r="I468" s="158"/>
      <c r="J468" s="158"/>
      <c r="K468" s="158"/>
      <c r="L468" s="158"/>
      <c r="M468" s="158"/>
      <c r="N468" s="295"/>
    </row>
    <row r="469" spans="1:14">
      <c r="A469" s="299"/>
      <c r="B469" s="158"/>
      <c r="C469" s="158"/>
      <c r="D469" s="158"/>
      <c r="E469" s="158"/>
      <c r="F469" s="158"/>
      <c r="G469" s="158"/>
      <c r="H469" s="329"/>
      <c r="I469" s="158"/>
      <c r="J469" s="158"/>
      <c r="K469" s="158"/>
      <c r="L469" s="158"/>
      <c r="M469" s="158"/>
      <c r="N469" s="295"/>
    </row>
    <row r="470" spans="1:14" ht="13.95" customHeight="1">
      <c r="A470" s="299"/>
      <c r="B470" s="158"/>
      <c r="C470" s="158"/>
      <c r="D470" s="158"/>
      <c r="E470" s="158"/>
      <c r="F470" s="158"/>
      <c r="G470" s="158"/>
      <c r="H470" s="329"/>
      <c r="I470" s="158"/>
      <c r="J470" s="158"/>
      <c r="K470" s="158"/>
      <c r="L470" s="158"/>
      <c r="M470" s="158"/>
      <c r="N470" s="295"/>
    </row>
    <row r="471" spans="1:14">
      <c r="A471" s="299"/>
      <c r="B471" s="158"/>
      <c r="C471" s="158"/>
      <c r="D471" s="158"/>
      <c r="E471" s="158"/>
      <c r="F471" s="158"/>
      <c r="G471" s="158"/>
      <c r="H471" s="329"/>
      <c r="I471" s="158"/>
      <c r="J471" s="158"/>
      <c r="K471" s="158"/>
      <c r="L471" s="158"/>
      <c r="M471" s="158"/>
      <c r="N471" s="295"/>
    </row>
    <row r="472" spans="1:14">
      <c r="A472" s="299"/>
      <c r="B472" s="158"/>
      <c r="C472" s="158"/>
      <c r="D472" s="158"/>
      <c r="E472" s="158"/>
      <c r="F472" s="158"/>
      <c r="G472" s="158"/>
      <c r="H472" s="329"/>
      <c r="I472" s="158"/>
      <c r="J472" s="158"/>
      <c r="K472" s="158"/>
      <c r="L472" s="158"/>
      <c r="M472" s="158"/>
      <c r="N472" s="295"/>
    </row>
    <row r="473" spans="1:14">
      <c r="A473" s="299"/>
      <c r="B473" s="158"/>
      <c r="C473" s="158"/>
      <c r="D473" s="158"/>
      <c r="E473" s="158"/>
      <c r="F473" s="158"/>
      <c r="G473" s="158"/>
      <c r="H473" s="329"/>
      <c r="I473" s="158"/>
      <c r="J473" s="158"/>
      <c r="K473" s="158"/>
      <c r="L473" s="158"/>
      <c r="M473" s="158"/>
      <c r="N473" s="295"/>
    </row>
    <row r="474" spans="1:14" ht="13.95" customHeight="1">
      <c r="A474" s="299"/>
      <c r="B474" s="158"/>
      <c r="C474" s="158"/>
      <c r="D474" s="158"/>
      <c r="E474" s="158"/>
      <c r="F474" s="158"/>
      <c r="G474" s="158"/>
      <c r="H474" s="329"/>
      <c r="I474" s="158"/>
      <c r="J474" s="158"/>
      <c r="K474" s="158"/>
      <c r="L474" s="158"/>
      <c r="M474" s="158"/>
      <c r="N474" s="295"/>
    </row>
    <row r="475" spans="1:14">
      <c r="A475" s="299"/>
      <c r="B475" s="158"/>
      <c r="C475" s="158"/>
      <c r="D475" s="158"/>
      <c r="E475" s="158"/>
      <c r="F475" s="158"/>
      <c r="G475" s="158"/>
      <c r="H475" s="329"/>
      <c r="I475" s="158"/>
      <c r="J475" s="158"/>
      <c r="K475" s="158"/>
      <c r="L475" s="158"/>
      <c r="M475" s="158"/>
      <c r="N475" s="295"/>
    </row>
    <row r="476" spans="1:14">
      <c r="A476" s="299"/>
      <c r="B476" s="158"/>
      <c r="C476" s="158"/>
      <c r="D476" s="158"/>
      <c r="E476" s="158"/>
      <c r="F476" s="158"/>
      <c r="G476" s="158"/>
      <c r="H476" s="329"/>
      <c r="I476" s="158"/>
      <c r="J476" s="158"/>
      <c r="K476" s="158"/>
      <c r="L476" s="158"/>
      <c r="M476" s="158"/>
      <c r="N476" s="295"/>
    </row>
    <row r="477" spans="1:14">
      <c r="A477" s="299"/>
      <c r="B477" s="158"/>
      <c r="C477" s="158"/>
      <c r="D477" s="158"/>
      <c r="E477" s="158"/>
      <c r="F477" s="158"/>
      <c r="G477" s="158"/>
      <c r="H477" s="329"/>
      <c r="I477" s="158"/>
      <c r="J477" s="158"/>
      <c r="K477" s="158"/>
      <c r="L477" s="158"/>
      <c r="M477" s="158"/>
      <c r="N477" s="295"/>
    </row>
    <row r="478" spans="1:14" ht="13.95" customHeight="1">
      <c r="A478" s="299"/>
      <c r="B478" s="158"/>
      <c r="C478" s="158"/>
      <c r="D478" s="158"/>
      <c r="E478" s="158"/>
      <c r="F478" s="158"/>
      <c r="G478" s="158"/>
      <c r="H478" s="329"/>
      <c r="I478" s="158"/>
      <c r="J478" s="158"/>
      <c r="K478" s="158"/>
      <c r="L478" s="158"/>
      <c r="M478" s="158"/>
      <c r="N478" s="295"/>
    </row>
    <row r="479" spans="1:14">
      <c r="A479" s="299"/>
      <c r="B479" s="158"/>
      <c r="C479" s="158"/>
      <c r="D479" s="158"/>
      <c r="E479" s="158"/>
      <c r="F479" s="158"/>
      <c r="G479" s="158"/>
      <c r="H479" s="329"/>
      <c r="I479" s="158"/>
      <c r="J479" s="158"/>
      <c r="K479" s="158"/>
      <c r="L479" s="158"/>
      <c r="M479" s="158"/>
      <c r="N479" s="295"/>
    </row>
    <row r="480" spans="1:14">
      <c r="A480" s="299"/>
      <c r="B480" s="158"/>
      <c r="C480" s="158"/>
      <c r="D480" s="158"/>
      <c r="E480" s="158"/>
      <c r="F480" s="158"/>
      <c r="G480" s="158"/>
      <c r="H480" s="329"/>
      <c r="I480" s="158"/>
      <c r="J480" s="158"/>
      <c r="K480" s="158"/>
      <c r="L480" s="158"/>
      <c r="M480" s="158"/>
      <c r="N480" s="295"/>
    </row>
    <row r="481" spans="1:14">
      <c r="A481" s="299"/>
      <c r="B481" s="158"/>
      <c r="C481" s="158"/>
      <c r="D481" s="158"/>
      <c r="E481" s="158"/>
      <c r="F481" s="158"/>
      <c r="G481" s="158"/>
      <c r="H481" s="329"/>
      <c r="I481" s="158"/>
      <c r="J481" s="158"/>
      <c r="K481" s="158"/>
      <c r="L481" s="158"/>
      <c r="M481" s="158"/>
      <c r="N481" s="295"/>
    </row>
    <row r="482" spans="1:14" ht="13.95" customHeight="1">
      <c r="A482" s="299"/>
      <c r="B482" s="158"/>
      <c r="C482" s="158"/>
      <c r="D482" s="158"/>
      <c r="E482" s="158"/>
      <c r="F482" s="158"/>
      <c r="G482" s="158"/>
      <c r="H482" s="329"/>
      <c r="I482" s="158"/>
      <c r="J482" s="158"/>
      <c r="K482" s="158"/>
      <c r="L482" s="158"/>
      <c r="M482" s="158"/>
      <c r="N482" s="295"/>
    </row>
    <row r="483" spans="1:14">
      <c r="A483" s="299"/>
      <c r="B483" s="158"/>
      <c r="C483" s="158"/>
      <c r="D483" s="158"/>
      <c r="E483" s="158"/>
      <c r="F483" s="158"/>
      <c r="G483" s="158"/>
      <c r="H483" s="329"/>
      <c r="I483" s="158"/>
      <c r="J483" s="158"/>
      <c r="K483" s="158"/>
      <c r="L483" s="158"/>
      <c r="M483" s="158"/>
      <c r="N483" s="295"/>
    </row>
    <row r="484" spans="1:14">
      <c r="A484" s="299"/>
      <c r="B484" s="158"/>
      <c r="C484" s="158"/>
      <c r="D484" s="158"/>
      <c r="E484" s="158"/>
      <c r="F484" s="158"/>
      <c r="G484" s="158"/>
      <c r="H484" s="329"/>
      <c r="I484" s="158"/>
      <c r="J484" s="158"/>
      <c r="K484" s="158"/>
      <c r="L484" s="158"/>
      <c r="M484" s="158"/>
      <c r="N484" s="295"/>
    </row>
    <row r="485" spans="1:14">
      <c r="A485" s="299"/>
      <c r="B485" s="158"/>
      <c r="C485" s="158"/>
      <c r="D485" s="158"/>
      <c r="E485" s="158"/>
      <c r="F485" s="158"/>
      <c r="G485" s="158"/>
      <c r="H485" s="329"/>
      <c r="I485" s="158"/>
      <c r="J485" s="158"/>
      <c r="K485" s="158"/>
      <c r="L485" s="158"/>
      <c r="M485" s="158"/>
      <c r="N485" s="295"/>
    </row>
    <row r="486" spans="1:14">
      <c r="A486" s="299"/>
      <c r="B486" s="158"/>
      <c r="C486" s="158"/>
      <c r="D486" s="158"/>
      <c r="E486" s="158"/>
      <c r="F486" s="158"/>
      <c r="G486" s="158"/>
      <c r="H486" s="329"/>
      <c r="I486" s="158"/>
      <c r="J486" s="158"/>
      <c r="K486" s="158"/>
      <c r="L486" s="158"/>
      <c r="M486" s="158"/>
      <c r="N486" s="295"/>
    </row>
    <row r="487" spans="1:14" ht="13.95" customHeight="1">
      <c r="A487" s="299"/>
      <c r="B487" s="158"/>
      <c r="C487" s="158"/>
      <c r="D487" s="158"/>
      <c r="E487" s="158"/>
      <c r="F487" s="158"/>
      <c r="G487" s="158"/>
      <c r="H487" s="329"/>
      <c r="I487" s="158"/>
      <c r="J487" s="158"/>
      <c r="K487" s="158"/>
      <c r="L487" s="158"/>
      <c r="M487" s="158"/>
      <c r="N487" s="295"/>
    </row>
    <row r="488" spans="1:14">
      <c r="A488" s="299"/>
      <c r="B488" s="158"/>
      <c r="C488" s="158"/>
      <c r="D488" s="158"/>
      <c r="E488" s="158"/>
      <c r="F488" s="158"/>
      <c r="G488" s="158"/>
      <c r="H488" s="329"/>
      <c r="I488" s="158"/>
      <c r="J488" s="158"/>
      <c r="K488" s="158"/>
      <c r="L488" s="158"/>
      <c r="M488" s="158"/>
      <c r="N488" s="295"/>
    </row>
    <row r="489" spans="1:14">
      <c r="A489" s="299"/>
      <c r="B489" s="158"/>
      <c r="C489" s="158"/>
      <c r="D489" s="158"/>
      <c r="E489" s="158"/>
      <c r="F489" s="158"/>
      <c r="G489" s="158"/>
      <c r="H489" s="329"/>
      <c r="I489" s="158"/>
      <c r="J489" s="158"/>
      <c r="K489" s="158"/>
      <c r="L489" s="158"/>
      <c r="M489" s="158"/>
      <c r="N489" s="295"/>
    </row>
    <row r="490" spans="1:14">
      <c r="A490" s="299"/>
      <c r="B490" s="158"/>
      <c r="C490" s="158"/>
      <c r="D490" s="158"/>
      <c r="E490" s="158"/>
      <c r="F490" s="158"/>
      <c r="G490" s="158"/>
      <c r="H490" s="329"/>
      <c r="I490" s="158"/>
      <c r="J490" s="158"/>
      <c r="K490" s="158"/>
      <c r="L490" s="158"/>
      <c r="M490" s="158"/>
      <c r="N490" s="295"/>
    </row>
    <row r="491" spans="1:14" ht="13.95" customHeight="1">
      <c r="A491" s="299"/>
      <c r="B491" s="158"/>
      <c r="C491" s="158"/>
      <c r="D491" s="158"/>
      <c r="E491" s="158"/>
      <c r="F491" s="158"/>
      <c r="G491" s="158"/>
      <c r="H491" s="329"/>
      <c r="I491" s="158"/>
      <c r="J491" s="158"/>
      <c r="K491" s="158"/>
      <c r="L491" s="158"/>
      <c r="M491" s="158"/>
      <c r="N491" s="295"/>
    </row>
    <row r="492" spans="1:14">
      <c r="A492" s="299"/>
      <c r="B492" s="158"/>
      <c r="C492" s="158"/>
      <c r="D492" s="158"/>
      <c r="E492" s="158"/>
      <c r="F492" s="158"/>
      <c r="G492" s="158"/>
      <c r="H492" s="329"/>
      <c r="I492" s="158"/>
      <c r="J492" s="158"/>
      <c r="K492" s="158"/>
      <c r="L492" s="158"/>
      <c r="M492" s="158"/>
      <c r="N492" s="295"/>
    </row>
    <row r="493" spans="1:14">
      <c r="A493" s="299"/>
      <c r="B493" s="158"/>
      <c r="C493" s="158"/>
      <c r="D493" s="158"/>
      <c r="E493" s="158"/>
      <c r="F493" s="158"/>
      <c r="G493" s="158"/>
      <c r="H493" s="329"/>
      <c r="I493" s="158"/>
      <c r="J493" s="158"/>
      <c r="K493" s="158"/>
      <c r="L493" s="158"/>
      <c r="M493" s="158"/>
      <c r="N493" s="295"/>
    </row>
    <row r="494" spans="1:14">
      <c r="A494" s="299"/>
      <c r="B494" s="158"/>
      <c r="C494" s="158"/>
      <c r="D494" s="158"/>
      <c r="E494" s="158"/>
      <c r="F494" s="158"/>
      <c r="G494" s="158"/>
      <c r="H494" s="329"/>
      <c r="I494" s="158"/>
      <c r="J494" s="158"/>
      <c r="K494" s="158"/>
      <c r="L494" s="158"/>
      <c r="M494" s="158"/>
      <c r="N494" s="295"/>
    </row>
    <row r="495" spans="1:14" ht="13.95" customHeight="1">
      <c r="A495" s="299"/>
      <c r="B495" s="158"/>
      <c r="C495" s="158"/>
      <c r="D495" s="158"/>
      <c r="E495" s="158"/>
      <c r="F495" s="158"/>
      <c r="G495" s="158"/>
      <c r="H495" s="329"/>
      <c r="I495" s="158"/>
      <c r="J495" s="158"/>
      <c r="K495" s="158"/>
      <c r="L495" s="158"/>
      <c r="M495" s="158"/>
      <c r="N495" s="295"/>
    </row>
    <row r="496" spans="1:14">
      <c r="A496" s="299"/>
      <c r="B496" s="158"/>
      <c r="C496" s="158"/>
      <c r="D496" s="158"/>
      <c r="E496" s="158"/>
      <c r="F496" s="158"/>
      <c r="G496" s="158"/>
      <c r="H496" s="329"/>
      <c r="I496" s="158"/>
      <c r="J496" s="158"/>
      <c r="K496" s="158"/>
      <c r="L496" s="158"/>
      <c r="M496" s="158"/>
      <c r="N496" s="295"/>
    </row>
    <row r="497" spans="1:14">
      <c r="A497" s="299"/>
      <c r="B497" s="158"/>
      <c r="C497" s="158"/>
      <c r="D497" s="158"/>
      <c r="E497" s="158"/>
      <c r="F497" s="158"/>
      <c r="G497" s="158"/>
      <c r="H497" s="329"/>
      <c r="I497" s="158"/>
      <c r="J497" s="158"/>
      <c r="K497" s="158"/>
      <c r="L497" s="158"/>
      <c r="M497" s="158"/>
      <c r="N497" s="295"/>
    </row>
    <row r="498" spans="1:14">
      <c r="A498" s="299"/>
      <c r="B498" s="158"/>
      <c r="C498" s="158"/>
      <c r="D498" s="158"/>
      <c r="E498" s="158"/>
      <c r="F498" s="158"/>
      <c r="G498" s="158"/>
      <c r="H498" s="329"/>
      <c r="I498" s="158"/>
      <c r="J498" s="158"/>
      <c r="K498" s="158"/>
      <c r="L498" s="158"/>
      <c r="M498" s="158"/>
      <c r="N498" s="295"/>
    </row>
    <row r="499" spans="1:14" ht="13.95" customHeight="1">
      <c r="A499" s="299"/>
      <c r="B499" s="158"/>
      <c r="C499" s="158"/>
      <c r="D499" s="158"/>
      <c r="E499" s="158"/>
      <c r="F499" s="158"/>
      <c r="G499" s="158"/>
      <c r="H499" s="329"/>
      <c r="I499" s="158"/>
      <c r="J499" s="158"/>
      <c r="K499" s="158"/>
      <c r="L499" s="158"/>
      <c r="M499" s="158"/>
      <c r="N499" s="295"/>
    </row>
    <row r="500" spans="1:14">
      <c r="A500" s="299"/>
      <c r="B500" s="158"/>
      <c r="C500" s="158"/>
      <c r="D500" s="158"/>
      <c r="E500" s="158"/>
      <c r="F500" s="158"/>
      <c r="G500" s="158"/>
      <c r="H500" s="329"/>
      <c r="I500" s="158"/>
      <c r="J500" s="158"/>
      <c r="K500" s="158"/>
      <c r="L500" s="158"/>
      <c r="M500" s="158"/>
      <c r="N500" s="295"/>
    </row>
    <row r="501" spans="1:14">
      <c r="A501" s="299"/>
      <c r="B501" s="158"/>
      <c r="C501" s="158"/>
      <c r="D501" s="158"/>
      <c r="E501" s="158"/>
      <c r="F501" s="158"/>
      <c r="G501" s="158"/>
      <c r="H501" s="329"/>
      <c r="I501" s="158"/>
      <c r="J501" s="158"/>
      <c r="K501" s="158"/>
      <c r="L501" s="158"/>
      <c r="M501" s="158"/>
      <c r="N501" s="295"/>
    </row>
    <row r="502" spans="1:14">
      <c r="A502" s="299"/>
      <c r="B502" s="158"/>
      <c r="C502" s="158"/>
      <c r="D502" s="158"/>
      <c r="E502" s="158"/>
      <c r="F502" s="158"/>
      <c r="G502" s="158"/>
      <c r="H502" s="329"/>
      <c r="I502" s="158"/>
      <c r="J502" s="158"/>
      <c r="K502" s="158"/>
      <c r="L502" s="158"/>
      <c r="M502" s="158"/>
      <c r="N502" s="295"/>
    </row>
    <row r="503" spans="1:14" ht="13.95" customHeight="1">
      <c r="A503" s="299"/>
      <c r="B503" s="158"/>
      <c r="C503" s="158"/>
      <c r="D503" s="158"/>
      <c r="E503" s="158"/>
      <c r="F503" s="158"/>
      <c r="G503" s="158"/>
      <c r="H503" s="329"/>
      <c r="I503" s="158"/>
      <c r="J503" s="158"/>
      <c r="K503" s="158"/>
      <c r="L503" s="158"/>
      <c r="M503" s="158"/>
      <c r="N503" s="295"/>
    </row>
    <row r="504" spans="1:14" ht="13.95" customHeight="1">
      <c r="A504" s="299"/>
      <c r="B504" s="158"/>
      <c r="C504" s="158"/>
      <c r="D504" s="158"/>
      <c r="E504" s="158"/>
      <c r="F504" s="158"/>
      <c r="G504" s="158"/>
      <c r="H504" s="329"/>
      <c r="I504" s="158"/>
      <c r="J504" s="158"/>
      <c r="K504" s="158"/>
      <c r="L504" s="158"/>
      <c r="M504" s="158"/>
      <c r="N504" s="295"/>
    </row>
    <row r="505" spans="1:14">
      <c r="A505" s="299"/>
      <c r="B505" s="158"/>
      <c r="C505" s="158"/>
      <c r="D505" s="158"/>
      <c r="E505" s="158"/>
      <c r="F505" s="158"/>
      <c r="G505" s="158"/>
      <c r="H505" s="329"/>
      <c r="I505" s="158"/>
      <c r="J505" s="158"/>
      <c r="K505" s="158"/>
      <c r="L505" s="158"/>
      <c r="M505" s="158"/>
      <c r="N505" s="295"/>
    </row>
    <row r="506" spans="1:14" ht="18" customHeight="1">
      <c r="A506" s="300"/>
      <c r="B506" s="297"/>
      <c r="C506" s="297"/>
      <c r="D506" s="297"/>
      <c r="E506" s="297"/>
      <c r="F506" s="297"/>
      <c r="G506" s="297"/>
      <c r="H506" s="330"/>
      <c r="I506" s="297"/>
      <c r="J506" s="297"/>
      <c r="K506" s="297"/>
      <c r="L506" s="297"/>
      <c r="M506" s="297"/>
      <c r="N506" s="298"/>
    </row>
    <row r="507" spans="1:14" ht="30" customHeight="1">
      <c r="A507" s="301" t="s">
        <v>1148</v>
      </c>
      <c r="B507" s="1273" t="s">
        <v>952</v>
      </c>
      <c r="C507" s="1273"/>
      <c r="D507" s="1273"/>
      <c r="E507" s="1273"/>
      <c r="F507" s="1273"/>
      <c r="G507" s="1273"/>
      <c r="H507" s="1273"/>
      <c r="I507" s="1273"/>
      <c r="J507" s="1273"/>
      <c r="K507" s="1273"/>
      <c r="L507" s="1273"/>
      <c r="M507" s="310"/>
      <c r="N507" s="303" t="s">
        <v>1149</v>
      </c>
    </row>
    <row r="508" spans="1:14">
      <c r="A508" s="304"/>
      <c r="B508" s="305"/>
      <c r="C508" s="305"/>
      <c r="D508" s="305"/>
      <c r="E508" s="305"/>
      <c r="F508" s="305"/>
      <c r="G508" s="305"/>
      <c r="H508" s="331"/>
      <c r="I508" s="305"/>
      <c r="J508" s="305"/>
      <c r="K508" s="305"/>
      <c r="L508" s="305"/>
      <c r="M508" s="305"/>
      <c r="N508" s="306"/>
    </row>
    <row r="509" spans="1:14">
      <c r="A509" s="304"/>
      <c r="B509" s="305"/>
      <c r="C509" s="305"/>
      <c r="D509" s="305"/>
      <c r="E509" s="305"/>
      <c r="F509" s="305"/>
      <c r="G509" s="305"/>
      <c r="H509" s="331"/>
      <c r="I509" s="305"/>
      <c r="J509" s="305"/>
      <c r="K509" s="305"/>
      <c r="L509" s="305"/>
      <c r="M509" s="305"/>
      <c r="N509" s="306"/>
    </row>
    <row r="510" spans="1:14">
      <c r="A510" s="304"/>
      <c r="B510" s="305"/>
      <c r="C510" s="305"/>
      <c r="D510" s="305"/>
      <c r="E510" s="305"/>
      <c r="F510" s="305"/>
      <c r="G510" s="305"/>
      <c r="H510" s="331"/>
      <c r="I510" s="305"/>
      <c r="J510" s="305"/>
      <c r="K510" s="305"/>
      <c r="L510" s="305"/>
      <c r="M510" s="305"/>
      <c r="N510" s="306"/>
    </row>
    <row r="511" spans="1:14">
      <c r="A511" s="304"/>
      <c r="B511" s="305"/>
      <c r="C511" s="305"/>
      <c r="D511" s="305"/>
      <c r="E511" s="305"/>
      <c r="F511" s="305"/>
      <c r="G511" s="305"/>
      <c r="H511" s="331"/>
      <c r="I511" s="305"/>
      <c r="J511" s="305"/>
      <c r="K511" s="305"/>
      <c r="L511" s="305"/>
      <c r="M511" s="305"/>
      <c r="N511" s="306"/>
    </row>
    <row r="512" spans="1:14">
      <c r="A512" s="304"/>
      <c r="B512" s="305"/>
      <c r="C512" s="305"/>
      <c r="D512" s="305"/>
      <c r="E512" s="305"/>
      <c r="F512" s="305"/>
      <c r="G512" s="305"/>
      <c r="H512" s="331"/>
      <c r="I512" s="305"/>
      <c r="J512" s="305"/>
      <c r="K512" s="305"/>
      <c r="L512" s="305"/>
      <c r="M512" s="305"/>
      <c r="N512" s="306"/>
    </row>
    <row r="513" spans="1:14">
      <c r="A513" s="304"/>
      <c r="B513" s="305"/>
      <c r="C513" s="305"/>
      <c r="D513" s="305"/>
      <c r="E513" s="305"/>
      <c r="F513" s="305"/>
      <c r="G513" s="305"/>
      <c r="H513" s="331"/>
      <c r="I513" s="305"/>
      <c r="J513" s="305"/>
      <c r="K513" s="305"/>
      <c r="L513" s="305"/>
      <c r="M513" s="305"/>
      <c r="N513" s="306"/>
    </row>
    <row r="514" spans="1:14">
      <c r="A514" s="304"/>
      <c r="B514" s="305"/>
      <c r="C514" s="305"/>
      <c r="D514" s="305"/>
      <c r="E514" s="305"/>
      <c r="F514" s="305"/>
      <c r="G514" s="305"/>
      <c r="H514" s="331"/>
      <c r="I514" s="305"/>
      <c r="J514" s="305"/>
      <c r="K514" s="305"/>
      <c r="L514" s="305"/>
      <c r="M514" s="305"/>
      <c r="N514" s="306"/>
    </row>
    <row r="515" spans="1:14">
      <c r="A515" s="304"/>
      <c r="B515" s="305"/>
      <c r="C515" s="305"/>
      <c r="D515" s="305"/>
      <c r="E515" s="305"/>
      <c r="F515" s="305"/>
      <c r="G515" s="305"/>
      <c r="H515" s="331"/>
      <c r="I515" s="305"/>
      <c r="J515" s="305"/>
      <c r="K515" s="305"/>
      <c r="L515" s="305"/>
      <c r="M515" s="305"/>
      <c r="N515" s="306"/>
    </row>
    <row r="516" spans="1:14">
      <c r="A516" s="304"/>
      <c r="B516" s="305"/>
      <c r="C516" s="305"/>
      <c r="D516" s="305"/>
      <c r="E516" s="305"/>
      <c r="F516" s="305"/>
      <c r="G516" s="305"/>
      <c r="H516" s="331"/>
      <c r="I516" s="305"/>
      <c r="J516" s="305"/>
      <c r="K516" s="305"/>
      <c r="L516" s="305"/>
      <c r="M516" s="305"/>
      <c r="N516" s="306"/>
    </row>
    <row r="517" spans="1:14">
      <c r="A517" s="304"/>
      <c r="B517" s="305"/>
      <c r="C517" s="305"/>
      <c r="D517" s="305"/>
      <c r="E517" s="305"/>
      <c r="F517" s="305"/>
      <c r="G517" s="305"/>
      <c r="H517" s="331"/>
      <c r="I517" s="305"/>
      <c r="J517" s="305"/>
      <c r="K517" s="305"/>
      <c r="L517" s="305"/>
      <c r="M517" s="305"/>
      <c r="N517" s="306"/>
    </row>
    <row r="518" spans="1:14">
      <c r="A518" s="304"/>
      <c r="B518" s="305"/>
      <c r="C518" s="305"/>
      <c r="D518" s="305"/>
      <c r="E518" s="305"/>
      <c r="F518" s="305"/>
      <c r="G518" s="305"/>
      <c r="H518" s="331"/>
      <c r="I518" s="305"/>
      <c r="J518" s="305"/>
      <c r="K518" s="305"/>
      <c r="L518" s="305"/>
      <c r="M518" s="305"/>
      <c r="N518" s="306"/>
    </row>
    <row r="519" spans="1:14">
      <c r="A519" s="304"/>
      <c r="B519" s="305"/>
      <c r="C519" s="305"/>
      <c r="D519" s="305"/>
      <c r="E519" s="305"/>
      <c r="F519" s="305"/>
      <c r="G519" s="305"/>
      <c r="H519" s="331"/>
      <c r="I519" s="305"/>
      <c r="J519" s="305"/>
      <c r="K519" s="305"/>
      <c r="L519" s="305"/>
      <c r="M519" s="305"/>
      <c r="N519" s="306"/>
    </row>
    <row r="520" spans="1:14">
      <c r="A520" s="304"/>
      <c r="B520" s="305"/>
      <c r="C520" s="305"/>
      <c r="D520" s="305"/>
      <c r="E520" s="305"/>
      <c r="F520" s="305"/>
      <c r="G520" s="305"/>
      <c r="H520" s="331"/>
      <c r="I520" s="305"/>
      <c r="J520" s="305"/>
      <c r="K520" s="305"/>
      <c r="L520" s="305"/>
      <c r="M520" s="305"/>
      <c r="N520" s="306"/>
    </row>
    <row r="521" spans="1:14">
      <c r="A521" s="304"/>
      <c r="B521" s="305"/>
      <c r="C521" s="305"/>
      <c r="D521" s="305"/>
      <c r="E521" s="305"/>
      <c r="F521" s="305"/>
      <c r="G521" s="305"/>
      <c r="H521" s="331"/>
      <c r="I521" s="305"/>
      <c r="J521" s="305"/>
      <c r="K521" s="305"/>
      <c r="L521" s="305"/>
      <c r="M521" s="305"/>
      <c r="N521" s="306"/>
    </row>
    <row r="522" spans="1:14">
      <c r="A522" s="304"/>
      <c r="B522" s="305"/>
      <c r="C522" s="305"/>
      <c r="D522" s="305"/>
      <c r="E522" s="305"/>
      <c r="F522" s="305"/>
      <c r="G522" s="305"/>
      <c r="H522" s="331"/>
      <c r="I522" s="305"/>
      <c r="J522" s="305"/>
      <c r="K522" s="305"/>
      <c r="L522" s="305"/>
      <c r="M522" s="305"/>
      <c r="N522" s="306"/>
    </row>
    <row r="523" spans="1:14">
      <c r="A523" s="304"/>
      <c r="B523" s="305"/>
      <c r="C523" s="305"/>
      <c r="D523" s="305"/>
      <c r="E523" s="305"/>
      <c r="F523" s="305"/>
      <c r="G523" s="305"/>
      <c r="H523" s="331"/>
      <c r="I523" s="305"/>
      <c r="J523" s="305"/>
      <c r="K523" s="305"/>
      <c r="L523" s="305"/>
      <c r="M523" s="305"/>
      <c r="N523" s="306"/>
    </row>
    <row r="524" spans="1:14">
      <c r="A524" s="304"/>
      <c r="B524" s="305"/>
      <c r="C524" s="305"/>
      <c r="D524" s="305"/>
      <c r="E524" s="305"/>
      <c r="F524" s="305"/>
      <c r="G524" s="305"/>
      <c r="H524" s="331"/>
      <c r="I524" s="305"/>
      <c r="J524" s="305"/>
      <c r="K524" s="305"/>
      <c r="L524" s="305"/>
      <c r="M524" s="305"/>
      <c r="N524" s="306"/>
    </row>
    <row r="525" spans="1:14">
      <c r="A525" s="304"/>
      <c r="B525" s="305"/>
      <c r="C525" s="305"/>
      <c r="D525" s="305"/>
      <c r="E525" s="305"/>
      <c r="F525" s="305"/>
      <c r="G525" s="305"/>
      <c r="H525" s="331"/>
      <c r="I525" s="305"/>
      <c r="J525" s="305"/>
      <c r="K525" s="305"/>
      <c r="L525" s="305"/>
      <c r="M525" s="305"/>
      <c r="N525" s="306"/>
    </row>
    <row r="526" spans="1:14">
      <c r="A526" s="304"/>
      <c r="B526" s="305"/>
      <c r="C526" s="305"/>
      <c r="D526" s="305"/>
      <c r="E526" s="305"/>
      <c r="F526" s="305"/>
      <c r="G526" s="305"/>
      <c r="H526" s="331"/>
      <c r="I526" s="305"/>
      <c r="J526" s="305"/>
      <c r="K526" s="305"/>
      <c r="L526" s="305"/>
      <c r="M526" s="305"/>
      <c r="N526" s="306"/>
    </row>
    <row r="527" spans="1:14">
      <c r="A527" s="304"/>
      <c r="B527" s="305"/>
      <c r="C527" s="305"/>
      <c r="D527" s="305"/>
      <c r="E527" s="305"/>
      <c r="F527" s="305"/>
      <c r="G527" s="305"/>
      <c r="H527" s="331"/>
      <c r="I527" s="305"/>
      <c r="J527" s="305"/>
      <c r="K527" s="305"/>
      <c r="L527" s="305"/>
      <c r="M527" s="305"/>
      <c r="N527" s="306"/>
    </row>
    <row r="528" spans="1:14">
      <c r="A528" s="304"/>
      <c r="B528" s="305"/>
      <c r="C528" s="305"/>
      <c r="D528" s="305"/>
      <c r="E528" s="305"/>
      <c r="F528" s="305"/>
      <c r="G528" s="305"/>
      <c r="H528" s="331"/>
      <c r="I528" s="305"/>
      <c r="J528" s="305"/>
      <c r="K528" s="305"/>
      <c r="L528" s="305"/>
      <c r="M528" s="305"/>
      <c r="N528" s="306"/>
    </row>
    <row r="529" spans="1:14">
      <c r="A529" s="304"/>
      <c r="B529" s="305"/>
      <c r="C529" s="305"/>
      <c r="D529" s="305"/>
      <c r="E529" s="305"/>
      <c r="F529" s="305"/>
      <c r="G529" s="305"/>
      <c r="H529" s="331"/>
      <c r="I529" s="305"/>
      <c r="J529" s="305"/>
      <c r="K529" s="305"/>
      <c r="L529" s="305"/>
      <c r="M529" s="305"/>
      <c r="N529" s="306"/>
    </row>
    <row r="530" spans="1:14">
      <c r="A530" s="304"/>
      <c r="B530" s="305"/>
      <c r="C530" s="305"/>
      <c r="D530" s="305"/>
      <c r="E530" s="305"/>
      <c r="F530" s="305"/>
      <c r="G530" s="305"/>
      <c r="H530" s="331"/>
      <c r="I530" s="305"/>
      <c r="J530" s="305"/>
      <c r="K530" s="305"/>
      <c r="L530" s="305"/>
      <c r="M530" s="305"/>
      <c r="N530" s="306"/>
    </row>
    <row r="531" spans="1:14">
      <c r="A531" s="304"/>
      <c r="B531" s="305"/>
      <c r="C531" s="305"/>
      <c r="D531" s="305"/>
      <c r="E531" s="305"/>
      <c r="F531" s="305"/>
      <c r="G531" s="305"/>
      <c r="H531" s="331"/>
      <c r="I531" s="305"/>
      <c r="J531" s="305"/>
      <c r="K531" s="305"/>
      <c r="L531" s="305"/>
      <c r="M531" s="305"/>
      <c r="N531" s="306"/>
    </row>
    <row r="532" spans="1:14">
      <c r="A532" s="304"/>
      <c r="B532" s="305"/>
      <c r="C532" s="305"/>
      <c r="D532" s="305"/>
      <c r="E532" s="305"/>
      <c r="F532" s="305"/>
      <c r="G532" s="305"/>
      <c r="H532" s="331"/>
      <c r="I532" s="305"/>
      <c r="J532" s="305"/>
      <c r="K532" s="305"/>
      <c r="L532" s="305"/>
      <c r="M532" s="305"/>
      <c r="N532" s="306"/>
    </row>
    <row r="533" spans="1:14">
      <c r="A533" s="304"/>
      <c r="B533" s="305"/>
      <c r="C533" s="305"/>
      <c r="D533" s="305"/>
      <c r="E533" s="305"/>
      <c r="F533" s="305"/>
      <c r="G533" s="305"/>
      <c r="H533" s="331"/>
      <c r="I533" s="305"/>
      <c r="J533" s="305"/>
      <c r="K533" s="305"/>
      <c r="L533" s="305"/>
      <c r="M533" s="305"/>
      <c r="N533" s="306"/>
    </row>
    <row r="534" spans="1:14">
      <c r="A534" s="304"/>
      <c r="B534" s="305"/>
      <c r="C534" s="305"/>
      <c r="D534" s="305"/>
      <c r="E534" s="305"/>
      <c r="F534" s="305"/>
      <c r="G534" s="305"/>
      <c r="H534" s="331"/>
      <c r="I534" s="305"/>
      <c r="J534" s="305"/>
      <c r="K534" s="305"/>
      <c r="L534" s="305"/>
      <c r="M534" s="305"/>
      <c r="N534" s="306"/>
    </row>
    <row r="535" spans="1:14">
      <c r="A535" s="304"/>
      <c r="B535" s="305"/>
      <c r="C535" s="305"/>
      <c r="D535" s="305"/>
      <c r="E535" s="305"/>
      <c r="F535" s="305"/>
      <c r="G535" s="305"/>
      <c r="H535" s="331"/>
      <c r="I535" s="305"/>
      <c r="J535" s="305"/>
      <c r="K535" s="305"/>
      <c r="L535" s="305"/>
      <c r="M535" s="305"/>
      <c r="N535" s="306"/>
    </row>
    <row r="536" spans="1:14">
      <c r="A536" s="304"/>
      <c r="B536" s="305"/>
      <c r="C536" s="305"/>
      <c r="D536" s="305"/>
      <c r="E536" s="305"/>
      <c r="F536" s="305"/>
      <c r="G536" s="305"/>
      <c r="H536" s="331"/>
      <c r="I536" s="305"/>
      <c r="J536" s="305"/>
      <c r="K536" s="305"/>
      <c r="L536" s="305"/>
      <c r="M536" s="305"/>
      <c r="N536" s="306"/>
    </row>
    <row r="537" spans="1:14">
      <c r="A537" s="304"/>
      <c r="B537" s="305"/>
      <c r="C537" s="305"/>
      <c r="D537" s="305"/>
      <c r="E537" s="305"/>
      <c r="F537" s="305"/>
      <c r="G537" s="305"/>
      <c r="H537" s="331"/>
      <c r="I537" s="305"/>
      <c r="J537" s="305"/>
      <c r="K537" s="305"/>
      <c r="L537" s="305"/>
      <c r="M537" s="305"/>
      <c r="N537" s="306"/>
    </row>
    <row r="538" spans="1:14">
      <c r="A538" s="304"/>
      <c r="B538" s="305"/>
      <c r="C538" s="305"/>
      <c r="D538" s="305"/>
      <c r="E538" s="305"/>
      <c r="F538" s="305"/>
      <c r="G538" s="305"/>
      <c r="H538" s="331"/>
      <c r="I538" s="305"/>
      <c r="J538" s="305"/>
      <c r="K538" s="305"/>
      <c r="L538" s="305"/>
      <c r="M538" s="305"/>
      <c r="N538" s="306"/>
    </row>
    <row r="539" spans="1:14">
      <c r="A539" s="304"/>
      <c r="B539" s="305"/>
      <c r="C539" s="305"/>
      <c r="D539" s="305"/>
      <c r="E539" s="305"/>
      <c r="F539" s="305"/>
      <c r="G539" s="305"/>
      <c r="H539" s="331"/>
      <c r="I539" s="305"/>
      <c r="J539" s="305"/>
      <c r="K539" s="305"/>
      <c r="L539" s="305"/>
      <c r="M539" s="305"/>
      <c r="N539" s="306"/>
    </row>
    <row r="540" spans="1:14">
      <c r="A540" s="304"/>
      <c r="B540" s="305"/>
      <c r="C540" s="305"/>
      <c r="D540" s="305"/>
      <c r="E540" s="305"/>
      <c r="F540" s="305"/>
      <c r="G540" s="305"/>
      <c r="H540" s="331"/>
      <c r="I540" s="305"/>
      <c r="J540" s="305"/>
      <c r="K540" s="305"/>
      <c r="L540" s="305"/>
      <c r="M540" s="305"/>
      <c r="N540" s="306"/>
    </row>
    <row r="541" spans="1:14">
      <c r="A541" s="304"/>
      <c r="B541" s="305"/>
      <c r="C541" s="305"/>
      <c r="D541" s="305"/>
      <c r="E541" s="305"/>
      <c r="F541" s="305"/>
      <c r="G541" s="305"/>
      <c r="H541" s="331"/>
      <c r="I541" s="305"/>
      <c r="J541" s="305"/>
      <c r="K541" s="305"/>
      <c r="L541" s="305"/>
      <c r="M541" s="305"/>
      <c r="N541" s="306"/>
    </row>
    <row r="542" spans="1:14">
      <c r="A542" s="304"/>
      <c r="B542" s="305"/>
      <c r="C542" s="305"/>
      <c r="D542" s="305"/>
      <c r="E542" s="305"/>
      <c r="F542" s="305"/>
      <c r="G542" s="305"/>
      <c r="H542" s="331"/>
      <c r="I542" s="305"/>
      <c r="J542" s="305"/>
      <c r="K542" s="305"/>
      <c r="L542" s="305"/>
      <c r="M542" s="305"/>
      <c r="N542" s="306"/>
    </row>
    <row r="543" spans="1:14">
      <c r="A543" s="304"/>
      <c r="B543" s="305"/>
      <c r="C543" s="305"/>
      <c r="D543" s="305"/>
      <c r="E543" s="305"/>
      <c r="F543" s="305"/>
      <c r="G543" s="305"/>
      <c r="H543" s="331"/>
      <c r="I543" s="305"/>
      <c r="J543" s="305"/>
      <c r="K543" s="305"/>
      <c r="L543" s="305"/>
      <c r="M543" s="305"/>
      <c r="N543" s="306"/>
    </row>
    <row r="544" spans="1:14">
      <c r="A544" s="304"/>
      <c r="B544" s="305"/>
      <c r="C544" s="305"/>
      <c r="D544" s="305"/>
      <c r="E544" s="305"/>
      <c r="F544" s="305"/>
      <c r="G544" s="305"/>
      <c r="H544" s="331"/>
      <c r="I544" s="305"/>
      <c r="J544" s="305"/>
      <c r="K544" s="305"/>
      <c r="L544" s="305"/>
      <c r="M544" s="305"/>
      <c r="N544" s="306"/>
    </row>
    <row r="545" spans="1:14">
      <c r="A545" s="304"/>
      <c r="B545" s="305"/>
      <c r="C545" s="305"/>
      <c r="D545" s="305"/>
      <c r="E545" s="305"/>
      <c r="F545" s="305"/>
      <c r="G545" s="305"/>
      <c r="H545" s="331"/>
      <c r="I545" s="305"/>
      <c r="J545" s="305"/>
      <c r="K545" s="305"/>
      <c r="L545" s="305"/>
      <c r="M545" s="305"/>
      <c r="N545" s="306"/>
    </row>
    <row r="546" spans="1:14">
      <c r="A546" s="304"/>
      <c r="B546" s="305"/>
      <c r="C546" s="305"/>
      <c r="D546" s="305"/>
      <c r="E546" s="305"/>
      <c r="F546" s="305"/>
      <c r="G546" s="305"/>
      <c r="H546" s="331"/>
      <c r="I546" s="305"/>
      <c r="J546" s="305"/>
      <c r="K546" s="305"/>
      <c r="L546" s="305"/>
      <c r="M546" s="305"/>
      <c r="N546" s="306"/>
    </row>
    <row r="547" spans="1:14">
      <c r="A547" s="304"/>
      <c r="B547" s="305"/>
      <c r="C547" s="305"/>
      <c r="D547" s="305"/>
      <c r="E547" s="305"/>
      <c r="F547" s="305"/>
      <c r="G547" s="305"/>
      <c r="H547" s="331"/>
      <c r="I547" s="305"/>
      <c r="J547" s="305"/>
      <c r="K547" s="305"/>
      <c r="L547" s="305"/>
      <c r="M547" s="305"/>
      <c r="N547" s="306"/>
    </row>
    <row r="548" spans="1:14">
      <c r="A548" s="304"/>
      <c r="B548" s="305"/>
      <c r="C548" s="305"/>
      <c r="D548" s="305"/>
      <c r="E548" s="305"/>
      <c r="F548" s="305"/>
      <c r="G548" s="305"/>
      <c r="H548" s="331"/>
      <c r="I548" s="305"/>
      <c r="J548" s="305"/>
      <c r="K548" s="305"/>
      <c r="L548" s="305"/>
      <c r="M548" s="305"/>
      <c r="N548" s="306"/>
    </row>
    <row r="549" spans="1:14">
      <c r="A549" s="304"/>
      <c r="B549" s="305"/>
      <c r="C549" s="305"/>
      <c r="D549" s="305"/>
      <c r="E549" s="305"/>
      <c r="F549" s="305"/>
      <c r="G549" s="305"/>
      <c r="H549" s="331"/>
      <c r="I549" s="305"/>
      <c r="J549" s="305"/>
      <c r="K549" s="305"/>
      <c r="L549" s="305"/>
      <c r="M549" s="305"/>
      <c r="N549" s="306"/>
    </row>
    <row r="550" spans="1:14">
      <c r="A550" s="304"/>
      <c r="B550" s="305"/>
      <c r="C550" s="305"/>
      <c r="D550" s="305"/>
      <c r="E550" s="305"/>
      <c r="F550" s="305"/>
      <c r="G550" s="305"/>
      <c r="H550" s="331"/>
      <c r="I550" s="305"/>
      <c r="J550" s="305"/>
      <c r="K550" s="305"/>
      <c r="L550" s="305"/>
      <c r="M550" s="305"/>
      <c r="N550" s="306"/>
    </row>
    <row r="551" spans="1:14">
      <c r="A551" s="304"/>
      <c r="B551" s="305"/>
      <c r="C551" s="305"/>
      <c r="D551" s="305"/>
      <c r="E551" s="305"/>
      <c r="F551" s="305"/>
      <c r="G551" s="305"/>
      <c r="H551" s="331"/>
      <c r="I551" s="305"/>
      <c r="J551" s="305"/>
      <c r="K551" s="305"/>
      <c r="L551" s="305"/>
      <c r="M551" s="305"/>
      <c r="N551" s="306"/>
    </row>
    <row r="552" spans="1:14">
      <c r="A552" s="304"/>
      <c r="B552" s="305"/>
      <c r="C552" s="305"/>
      <c r="D552" s="305"/>
      <c r="E552" s="305"/>
      <c r="F552" s="305"/>
      <c r="G552" s="305"/>
      <c r="H552" s="331"/>
      <c r="I552" s="305"/>
      <c r="J552" s="305"/>
      <c r="K552" s="305"/>
      <c r="L552" s="305"/>
      <c r="M552" s="305"/>
      <c r="N552" s="306"/>
    </row>
    <row r="553" spans="1:14" ht="15" customHeight="1">
      <c r="A553" s="307"/>
      <c r="B553" s="308"/>
      <c r="C553" s="308"/>
      <c r="D553" s="308"/>
      <c r="E553" s="308"/>
      <c r="F553" s="308"/>
      <c r="G553" s="308"/>
      <c r="H553" s="332"/>
      <c r="I553" s="308"/>
      <c r="J553" s="308"/>
      <c r="K553" s="308"/>
      <c r="L553" s="308"/>
      <c r="M553" s="308"/>
      <c r="N553" s="309"/>
    </row>
    <row r="554" spans="1:14" ht="30" customHeight="1">
      <c r="A554" s="250" t="s">
        <v>1148</v>
      </c>
      <c r="B554" s="944" t="s">
        <v>554</v>
      </c>
      <c r="C554" s="944"/>
      <c r="D554" s="944"/>
      <c r="E554" s="944"/>
      <c r="F554" s="944"/>
      <c r="G554" s="944"/>
      <c r="H554" s="944"/>
      <c r="I554" s="944"/>
      <c r="J554" s="944"/>
      <c r="K554" s="944"/>
      <c r="L554" s="944"/>
      <c r="M554" s="251"/>
      <c r="N554" s="252" t="s">
        <v>1149</v>
      </c>
    </row>
    <row r="555" spans="1:14" ht="13.95" customHeight="1">
      <c r="A555" s="253"/>
      <c r="B555" s="28"/>
      <c r="C555" s="28"/>
      <c r="D555" s="28"/>
      <c r="E555" s="28"/>
      <c r="F555" s="28"/>
      <c r="G555" s="28"/>
      <c r="H555" s="322"/>
      <c r="I555" s="28"/>
      <c r="J555" s="28"/>
      <c r="K555" s="28"/>
      <c r="L555" s="28"/>
      <c r="M555" s="28"/>
      <c r="N555" s="254"/>
    </row>
    <row r="556" spans="1:14">
      <c r="A556" s="253"/>
      <c r="B556" s="28"/>
      <c r="C556" s="28"/>
      <c r="D556" s="28"/>
      <c r="E556" s="28"/>
      <c r="F556" s="28"/>
      <c r="G556" s="28"/>
      <c r="H556" s="322"/>
      <c r="I556" s="28"/>
      <c r="J556" s="28"/>
      <c r="K556" s="28"/>
      <c r="L556" s="28"/>
      <c r="M556" s="28"/>
      <c r="N556" s="254"/>
    </row>
    <row r="557" spans="1:14">
      <c r="A557" s="253"/>
      <c r="B557" s="28"/>
      <c r="C557" s="28"/>
      <c r="D557" s="28"/>
      <c r="E557" s="28"/>
      <c r="F557" s="28"/>
      <c r="G557" s="28"/>
      <c r="H557" s="322"/>
      <c r="I557" s="28"/>
      <c r="J557" s="28"/>
      <c r="K557" s="28"/>
      <c r="L557" s="28"/>
      <c r="M557" s="28"/>
      <c r="N557" s="254"/>
    </row>
    <row r="558" spans="1:14">
      <c r="A558" s="253"/>
      <c r="B558" s="28"/>
      <c r="C558" s="28"/>
      <c r="D558" s="28"/>
      <c r="E558" s="28"/>
      <c r="F558" s="28"/>
      <c r="G558" s="28"/>
      <c r="H558" s="322"/>
      <c r="I558" s="28"/>
      <c r="J558" s="28"/>
      <c r="K558" s="28"/>
      <c r="L558" s="28"/>
      <c r="M558" s="28"/>
      <c r="N558" s="254"/>
    </row>
    <row r="559" spans="1:14">
      <c r="A559" s="253"/>
      <c r="B559" s="28"/>
      <c r="C559" s="28"/>
      <c r="D559" s="28"/>
      <c r="E559" s="28"/>
      <c r="F559" s="28"/>
      <c r="G559" s="28"/>
      <c r="H559" s="322"/>
      <c r="I559" s="28"/>
      <c r="J559" s="28"/>
      <c r="K559" s="28"/>
      <c r="L559" s="28"/>
      <c r="M559" s="28"/>
      <c r="N559" s="254"/>
    </row>
    <row r="560" spans="1:14">
      <c r="A560" s="253"/>
      <c r="B560" s="28"/>
      <c r="C560" s="28"/>
      <c r="D560" s="28"/>
      <c r="E560" s="28"/>
      <c r="F560" s="28"/>
      <c r="G560" s="28"/>
      <c r="H560" s="322"/>
      <c r="I560" s="28"/>
      <c r="J560" s="28"/>
      <c r="K560" s="28"/>
      <c r="L560" s="28"/>
      <c r="M560" s="28"/>
      <c r="N560" s="254"/>
    </row>
    <row r="561" spans="1:14">
      <c r="A561" s="253"/>
      <c r="B561" s="28"/>
      <c r="C561" s="28"/>
      <c r="D561" s="28"/>
      <c r="E561" s="28"/>
      <c r="F561" s="28"/>
      <c r="G561" s="28"/>
      <c r="H561" s="322"/>
      <c r="I561" s="28"/>
      <c r="J561" s="28"/>
      <c r="K561" s="28"/>
      <c r="L561" s="28"/>
      <c r="M561" s="28"/>
      <c r="N561" s="254"/>
    </row>
    <row r="562" spans="1:14">
      <c r="A562" s="253"/>
      <c r="B562" s="28"/>
      <c r="C562" s="28"/>
      <c r="D562" s="28"/>
      <c r="E562" s="28"/>
      <c r="F562" s="28"/>
      <c r="G562" s="28"/>
      <c r="H562" s="322"/>
      <c r="I562" s="28"/>
      <c r="J562" s="28"/>
      <c r="K562" s="28"/>
      <c r="L562" s="28"/>
      <c r="M562" s="28"/>
      <c r="N562" s="254"/>
    </row>
    <row r="563" spans="1:14">
      <c r="A563" s="253"/>
      <c r="B563" s="28"/>
      <c r="C563" s="28"/>
      <c r="D563" s="28"/>
      <c r="E563" s="28"/>
      <c r="F563" s="28"/>
      <c r="G563" s="28"/>
      <c r="H563" s="322"/>
      <c r="I563" s="28"/>
      <c r="J563" s="28"/>
      <c r="K563" s="28"/>
      <c r="L563" s="28"/>
      <c r="M563" s="28"/>
      <c r="N563" s="254"/>
    </row>
    <row r="564" spans="1:14" ht="18.600000000000001" customHeight="1">
      <c r="A564" s="253"/>
      <c r="B564" s="28"/>
      <c r="C564" s="28"/>
      <c r="D564" s="28"/>
      <c r="E564" s="28"/>
      <c r="F564" s="28"/>
      <c r="G564" s="28"/>
      <c r="H564" s="322"/>
      <c r="I564" s="28"/>
      <c r="J564" s="28"/>
      <c r="K564" s="28"/>
      <c r="L564" s="28"/>
      <c r="M564" s="28"/>
      <c r="N564" s="254"/>
    </row>
    <row r="565" spans="1:14" ht="13.95" customHeight="1">
      <c r="A565" s="253"/>
      <c r="B565" s="28"/>
      <c r="C565" s="28"/>
      <c r="D565" s="28"/>
      <c r="E565" s="28"/>
      <c r="F565" s="28"/>
      <c r="G565" s="28"/>
      <c r="H565" s="322"/>
      <c r="I565" s="28"/>
      <c r="J565" s="28"/>
      <c r="K565" s="28"/>
      <c r="L565" s="28"/>
      <c r="M565" s="28"/>
      <c r="N565" s="254"/>
    </row>
    <row r="566" spans="1:14" ht="13.95" customHeight="1">
      <c r="A566" s="253"/>
      <c r="B566" s="28"/>
      <c r="C566" s="28"/>
      <c r="D566" s="28"/>
      <c r="E566" s="28"/>
      <c r="F566" s="28"/>
      <c r="G566" s="28"/>
      <c r="H566" s="322"/>
      <c r="I566" s="28"/>
      <c r="J566" s="28"/>
      <c r="K566" s="28"/>
      <c r="L566" s="28"/>
      <c r="M566" s="28"/>
      <c r="N566" s="254"/>
    </row>
    <row r="567" spans="1:14" ht="13.95" customHeight="1">
      <c r="A567" s="253"/>
      <c r="B567" s="28"/>
      <c r="C567" s="28"/>
      <c r="D567" s="28"/>
      <c r="E567" s="28"/>
      <c r="F567" s="28"/>
      <c r="G567" s="28"/>
      <c r="H567" s="322"/>
      <c r="I567" s="28"/>
      <c r="J567" s="28"/>
      <c r="K567" s="28"/>
      <c r="L567" s="28"/>
      <c r="M567" s="28"/>
      <c r="N567" s="254"/>
    </row>
    <row r="568" spans="1:14" ht="15" customHeight="1">
      <c r="A568" s="253"/>
      <c r="B568" s="28"/>
      <c r="C568" s="28"/>
      <c r="D568" s="28"/>
      <c r="E568" s="28"/>
      <c r="F568" s="28"/>
      <c r="G568" s="28"/>
      <c r="H568" s="322"/>
      <c r="I568" s="28"/>
      <c r="J568" s="28"/>
      <c r="K568" s="28"/>
      <c r="L568" s="28"/>
      <c r="M568" s="28"/>
      <c r="N568" s="254"/>
    </row>
    <row r="569" spans="1:14" ht="13.95" customHeight="1">
      <c r="A569" s="253"/>
      <c r="B569" s="28"/>
      <c r="C569" s="28"/>
      <c r="D569" s="28"/>
      <c r="E569" s="28"/>
      <c r="F569" s="28"/>
      <c r="G569" s="28"/>
      <c r="H569" s="322"/>
      <c r="I569" s="28"/>
      <c r="J569" s="28"/>
      <c r="K569" s="28"/>
      <c r="L569" s="28"/>
      <c r="M569" s="28"/>
      <c r="N569" s="254"/>
    </row>
    <row r="570" spans="1:14" ht="13.95" customHeight="1">
      <c r="A570" s="253"/>
      <c r="B570" s="28"/>
      <c r="C570" s="28"/>
      <c r="D570" s="28"/>
      <c r="E570" s="28"/>
      <c r="F570" s="28"/>
      <c r="G570" s="28"/>
      <c r="H570" s="322"/>
      <c r="I570" s="28"/>
      <c r="J570" s="28"/>
      <c r="K570" s="28"/>
      <c r="L570" s="28"/>
      <c r="M570" s="28"/>
      <c r="N570" s="254"/>
    </row>
    <row r="571" spans="1:14" ht="13.95" customHeight="1">
      <c r="A571" s="253"/>
      <c r="B571" s="28"/>
      <c r="C571" s="28"/>
      <c r="D571" s="28"/>
      <c r="E571" s="28"/>
      <c r="F571" s="28"/>
      <c r="G571" s="28"/>
      <c r="H571" s="322"/>
      <c r="I571" s="28"/>
      <c r="J571" s="28"/>
      <c r="K571" s="28"/>
      <c r="L571" s="28"/>
      <c r="M571" s="28"/>
      <c r="N571" s="254"/>
    </row>
    <row r="572" spans="1:14" ht="14.4" customHeight="1">
      <c r="A572" s="253"/>
      <c r="B572" s="28"/>
      <c r="C572" s="28"/>
      <c r="D572" s="28"/>
      <c r="E572" s="28"/>
      <c r="F572" s="28"/>
      <c r="G572" s="28"/>
      <c r="H572" s="322"/>
      <c r="I572" s="28"/>
      <c r="J572" s="28"/>
      <c r="K572" s="28"/>
      <c r="L572" s="28"/>
      <c r="M572" s="28"/>
      <c r="N572" s="254"/>
    </row>
    <row r="573" spans="1:14" ht="14.4" customHeight="1">
      <c r="A573" s="253"/>
      <c r="B573" s="28"/>
      <c r="C573" s="28"/>
      <c r="D573" s="28"/>
      <c r="E573" s="28"/>
      <c r="F573" s="28"/>
      <c r="G573" s="28"/>
      <c r="H573" s="322"/>
      <c r="I573" s="28"/>
      <c r="J573" s="28"/>
      <c r="K573" s="28"/>
      <c r="L573" s="28"/>
      <c r="M573" s="28"/>
      <c r="N573" s="254"/>
    </row>
    <row r="574" spans="1:14" ht="13.95" customHeight="1">
      <c r="A574" s="253"/>
      <c r="B574" s="28"/>
      <c r="C574" s="28"/>
      <c r="D574" s="28"/>
      <c r="E574" s="28"/>
      <c r="F574" s="28"/>
      <c r="G574" s="28"/>
      <c r="H574" s="322"/>
      <c r="I574" s="28"/>
      <c r="J574" s="28"/>
      <c r="K574" s="28"/>
      <c r="L574" s="28"/>
      <c r="M574" s="28"/>
      <c r="N574" s="254"/>
    </row>
    <row r="575" spans="1:14" ht="13.95" customHeight="1">
      <c r="A575" s="253"/>
      <c r="B575" s="28"/>
      <c r="C575" s="28"/>
      <c r="D575" s="28"/>
      <c r="E575" s="28"/>
      <c r="F575" s="28"/>
      <c r="G575" s="28"/>
      <c r="H575" s="322"/>
      <c r="I575" s="28"/>
      <c r="J575" s="28"/>
      <c r="K575" s="28"/>
      <c r="L575" s="28"/>
      <c r="M575" s="28"/>
      <c r="N575" s="254"/>
    </row>
    <row r="576" spans="1:14" ht="13.95" customHeight="1">
      <c r="A576" s="253"/>
      <c r="B576" s="28"/>
      <c r="C576" s="28"/>
      <c r="D576" s="28"/>
      <c r="E576" s="28"/>
      <c r="F576" s="28"/>
      <c r="G576" s="28"/>
      <c r="H576" s="322"/>
      <c r="I576" s="28"/>
      <c r="J576" s="28"/>
      <c r="K576" s="28"/>
      <c r="L576" s="28"/>
      <c r="M576" s="28"/>
      <c r="N576" s="254"/>
    </row>
    <row r="577" spans="1:14" ht="13.95" customHeight="1">
      <c r="A577" s="253"/>
      <c r="B577" s="28"/>
      <c r="C577" s="28"/>
      <c r="D577" s="28"/>
      <c r="E577" s="28"/>
      <c r="F577" s="28"/>
      <c r="G577" s="28"/>
      <c r="H577" s="322"/>
      <c r="I577" s="28"/>
      <c r="J577" s="28"/>
      <c r="K577" s="28"/>
      <c r="L577" s="28"/>
      <c r="M577" s="28"/>
      <c r="N577" s="254"/>
    </row>
    <row r="578" spans="1:14" ht="13.95" customHeight="1">
      <c r="A578" s="253"/>
      <c r="B578" s="28"/>
      <c r="C578" s="28"/>
      <c r="D578" s="28"/>
      <c r="E578" s="28"/>
      <c r="F578" s="28"/>
      <c r="G578" s="28"/>
      <c r="H578" s="322"/>
      <c r="I578" s="28"/>
      <c r="J578" s="28"/>
      <c r="K578" s="28"/>
      <c r="L578" s="28"/>
      <c r="M578" s="28"/>
      <c r="N578" s="254"/>
    </row>
    <row r="579" spans="1:14" ht="13.95" customHeight="1">
      <c r="A579" s="253"/>
      <c r="B579" s="28"/>
      <c r="C579" s="28"/>
      <c r="D579" s="28"/>
      <c r="E579" s="28"/>
      <c r="F579" s="28"/>
      <c r="G579" s="28"/>
      <c r="H579" s="322"/>
      <c r="I579" s="28"/>
      <c r="J579" s="28"/>
      <c r="K579" s="28"/>
      <c r="L579" s="28"/>
      <c r="M579" s="28"/>
      <c r="N579" s="254"/>
    </row>
    <row r="580" spans="1:14" ht="13.95" customHeight="1">
      <c r="A580" s="253"/>
      <c r="B580" s="28"/>
      <c r="C580" s="28"/>
      <c r="D580" s="28"/>
      <c r="E580" s="28"/>
      <c r="F580" s="28"/>
      <c r="G580" s="28"/>
      <c r="H580" s="322"/>
      <c r="I580" s="28"/>
      <c r="J580" s="28"/>
      <c r="K580" s="28"/>
      <c r="L580" s="28"/>
      <c r="M580" s="28"/>
      <c r="N580" s="254"/>
    </row>
    <row r="581" spans="1:14" ht="13.95" customHeight="1">
      <c r="A581" s="253"/>
      <c r="B581" s="28"/>
      <c r="C581" s="28"/>
      <c r="D581" s="28"/>
      <c r="E581" s="28"/>
      <c r="F581" s="28"/>
      <c r="G581" s="28"/>
      <c r="H581" s="322"/>
      <c r="I581" s="28"/>
      <c r="J581" s="28"/>
      <c r="K581" s="28"/>
      <c r="L581" s="28"/>
      <c r="M581" s="28"/>
      <c r="N581" s="254"/>
    </row>
    <row r="582" spans="1:14" ht="13.95" customHeight="1">
      <c r="A582" s="253"/>
      <c r="B582" s="28"/>
      <c r="C582" s="28"/>
      <c r="D582" s="28"/>
      <c r="E582" s="28"/>
      <c r="F582" s="28"/>
      <c r="G582" s="28"/>
      <c r="H582" s="322"/>
      <c r="I582" s="28"/>
      <c r="J582" s="28"/>
      <c r="K582" s="28"/>
      <c r="L582" s="28"/>
      <c r="M582" s="28"/>
      <c r="N582" s="254"/>
    </row>
    <row r="583" spans="1:14" ht="13.95" customHeight="1">
      <c r="A583" s="253"/>
      <c r="B583" s="28"/>
      <c r="C583" s="28"/>
      <c r="D583" s="28"/>
      <c r="E583" s="28"/>
      <c r="F583" s="28"/>
      <c r="G583" s="28"/>
      <c r="H583" s="322"/>
      <c r="I583" s="28"/>
      <c r="J583" s="28"/>
      <c r="K583" s="28"/>
      <c r="L583" s="28"/>
      <c r="M583" s="28"/>
      <c r="N583" s="254"/>
    </row>
    <row r="584" spans="1:14">
      <c r="A584" s="253"/>
      <c r="B584" s="28"/>
      <c r="C584" s="28"/>
      <c r="D584" s="28"/>
      <c r="E584" s="28"/>
      <c r="F584" s="28"/>
      <c r="G584" s="28"/>
      <c r="H584" s="322"/>
      <c r="I584" s="28"/>
      <c r="J584" s="28"/>
      <c r="K584" s="28"/>
      <c r="L584" s="28"/>
      <c r="M584" s="28"/>
      <c r="N584" s="254"/>
    </row>
    <row r="585" spans="1:14">
      <c r="A585" s="253"/>
      <c r="B585" s="28"/>
      <c r="C585" s="28"/>
      <c r="D585" s="28"/>
      <c r="E585" s="28"/>
      <c r="F585" s="28"/>
      <c r="G585" s="28"/>
      <c r="H585" s="322"/>
      <c r="I585" s="28"/>
      <c r="J585" s="28"/>
      <c r="K585" s="28"/>
      <c r="L585" s="28"/>
      <c r="M585" s="28"/>
      <c r="N585" s="254"/>
    </row>
    <row r="586" spans="1:14">
      <c r="A586" s="253"/>
      <c r="B586" s="28"/>
      <c r="C586" s="28"/>
      <c r="D586" s="28"/>
      <c r="E586" s="28"/>
      <c r="F586" s="28"/>
      <c r="G586" s="28"/>
      <c r="H586" s="322"/>
      <c r="I586" s="28"/>
      <c r="J586" s="28"/>
      <c r="K586" s="28"/>
      <c r="L586" s="28"/>
      <c r="M586" s="28"/>
      <c r="N586" s="254"/>
    </row>
    <row r="587" spans="1:14">
      <c r="A587" s="253"/>
      <c r="B587" s="28"/>
      <c r="C587" s="28"/>
      <c r="D587" s="28"/>
      <c r="E587" s="28"/>
      <c r="F587" s="28"/>
      <c r="G587" s="28"/>
      <c r="H587" s="322"/>
      <c r="I587" s="28"/>
      <c r="J587" s="28"/>
      <c r="K587" s="28"/>
      <c r="L587" s="28"/>
      <c r="M587" s="28"/>
      <c r="N587" s="254"/>
    </row>
    <row r="588" spans="1:14">
      <c r="A588" s="253"/>
      <c r="B588" s="28"/>
      <c r="C588" s="28"/>
      <c r="D588" s="28"/>
      <c r="E588" s="28"/>
      <c r="F588" s="28"/>
      <c r="G588" s="28"/>
      <c r="H588" s="322"/>
      <c r="I588" s="28"/>
      <c r="J588" s="28"/>
      <c r="K588" s="28"/>
      <c r="L588" s="28"/>
      <c r="M588" s="28"/>
      <c r="N588" s="254"/>
    </row>
    <row r="589" spans="1:14">
      <c r="A589" s="253"/>
      <c r="B589" s="28"/>
      <c r="C589" s="28"/>
      <c r="D589" s="28"/>
      <c r="E589" s="28"/>
      <c r="F589" s="28"/>
      <c r="G589" s="28"/>
      <c r="H589" s="322"/>
      <c r="I589" s="28"/>
      <c r="J589" s="28"/>
      <c r="K589" s="28"/>
      <c r="L589" s="28"/>
      <c r="M589" s="28"/>
      <c r="N589" s="254"/>
    </row>
    <row r="590" spans="1:14">
      <c r="A590" s="253"/>
      <c r="B590" s="28"/>
      <c r="C590" s="28"/>
      <c r="D590" s="28"/>
      <c r="E590" s="28"/>
      <c r="F590" s="28"/>
      <c r="G590" s="28"/>
      <c r="H590" s="322"/>
      <c r="I590" s="28"/>
      <c r="J590" s="28"/>
      <c r="K590" s="28"/>
      <c r="L590" s="28"/>
      <c r="M590" s="28"/>
      <c r="N590" s="254"/>
    </row>
    <row r="591" spans="1:14">
      <c r="A591" s="253"/>
      <c r="B591" s="28"/>
      <c r="C591" s="28"/>
      <c r="D591" s="28"/>
      <c r="E591" s="28"/>
      <c r="F591" s="28"/>
      <c r="G591" s="28"/>
      <c r="H591" s="322"/>
      <c r="I591" s="28"/>
      <c r="J591" s="28"/>
      <c r="K591" s="28"/>
      <c r="L591" s="28"/>
      <c r="M591" s="28"/>
      <c r="N591" s="254"/>
    </row>
    <row r="592" spans="1:14">
      <c r="A592" s="253"/>
      <c r="B592" s="28"/>
      <c r="C592" s="28"/>
      <c r="D592" s="28"/>
      <c r="E592" s="28"/>
      <c r="F592" s="28"/>
      <c r="G592" s="28"/>
      <c r="H592" s="322"/>
      <c r="I592" s="28"/>
      <c r="J592" s="28"/>
      <c r="K592" s="28"/>
      <c r="L592" s="28"/>
      <c r="M592" s="28"/>
      <c r="N592" s="254"/>
    </row>
    <row r="593" spans="1:62">
      <c r="A593" s="253"/>
      <c r="B593" s="28"/>
      <c r="C593" s="28"/>
      <c r="D593" s="28"/>
      <c r="E593" s="28"/>
      <c r="F593" s="28"/>
      <c r="G593" s="28"/>
      <c r="H593" s="322"/>
      <c r="I593" s="28"/>
      <c r="J593" s="28"/>
      <c r="K593" s="28"/>
      <c r="L593" s="28"/>
      <c r="M593" s="28"/>
      <c r="N593" s="254"/>
    </row>
    <row r="594" spans="1:62">
      <c r="A594" s="253"/>
      <c r="B594" s="28"/>
      <c r="C594" s="28"/>
      <c r="D594" s="28"/>
      <c r="E594" s="28"/>
      <c r="F594" s="28"/>
      <c r="G594" s="28"/>
      <c r="H594" s="322"/>
      <c r="I594" s="28"/>
      <c r="J594" s="28"/>
      <c r="K594" s="28"/>
      <c r="L594" s="28"/>
      <c r="M594" s="28"/>
      <c r="N594" s="254"/>
    </row>
    <row r="595" spans="1:62">
      <c r="A595" s="253"/>
      <c r="B595" s="28"/>
      <c r="C595" s="28"/>
      <c r="D595" s="28"/>
      <c r="E595" s="28"/>
      <c r="F595" s="28"/>
      <c r="G595" s="28"/>
      <c r="H595" s="322"/>
      <c r="I595" s="28"/>
      <c r="J595" s="28"/>
      <c r="K595" s="28"/>
      <c r="L595" s="28"/>
      <c r="M595" s="28"/>
      <c r="N595" s="254"/>
    </row>
    <row r="596" spans="1:62">
      <c r="A596" s="253"/>
      <c r="B596" s="28"/>
      <c r="C596" s="28"/>
      <c r="D596" s="28"/>
      <c r="E596" s="28"/>
      <c r="F596" s="28"/>
      <c r="G596" s="28"/>
      <c r="H596" s="322"/>
      <c r="I596" s="28"/>
      <c r="J596" s="28"/>
      <c r="K596" s="28"/>
      <c r="L596" s="28"/>
      <c r="M596" s="28"/>
      <c r="N596" s="254"/>
    </row>
    <row r="597" spans="1:62">
      <c r="A597" s="253"/>
      <c r="B597" s="28"/>
      <c r="C597" s="28"/>
      <c r="D597" s="28"/>
      <c r="E597" s="28"/>
      <c r="F597" s="28"/>
      <c r="G597" s="28"/>
      <c r="H597" s="322"/>
      <c r="I597" s="28"/>
      <c r="J597" s="28"/>
      <c r="K597" s="28"/>
      <c r="L597" s="28"/>
      <c r="M597" s="28"/>
      <c r="N597" s="254"/>
    </row>
    <row r="598" spans="1:62">
      <c r="A598" s="253"/>
      <c r="B598" s="28"/>
      <c r="C598" s="28"/>
      <c r="D598" s="28"/>
      <c r="E598" s="28"/>
      <c r="F598" s="28"/>
      <c r="G598" s="28"/>
      <c r="H598" s="322"/>
      <c r="I598" s="28"/>
      <c r="J598" s="28"/>
      <c r="K598" s="28"/>
      <c r="L598" s="28"/>
      <c r="M598" s="28"/>
      <c r="N598" s="254"/>
    </row>
    <row r="599" spans="1:62">
      <c r="A599" s="253"/>
      <c r="B599" s="28"/>
      <c r="C599" s="28"/>
      <c r="D599" s="28"/>
      <c r="E599" s="28"/>
      <c r="F599" s="28"/>
      <c r="G599" s="28"/>
      <c r="H599" s="322"/>
      <c r="I599" s="28"/>
      <c r="J599" s="28"/>
      <c r="K599" s="28"/>
      <c r="L599" s="28"/>
      <c r="M599" s="28"/>
      <c r="N599" s="254"/>
    </row>
    <row r="600" spans="1:62">
      <c r="A600" s="255"/>
      <c r="B600" s="256"/>
      <c r="C600" s="256"/>
      <c r="D600" s="256"/>
      <c r="E600" s="256"/>
      <c r="F600" s="256"/>
      <c r="G600" s="256"/>
      <c r="H600" s="323"/>
      <c r="I600" s="256"/>
      <c r="J600" s="256"/>
      <c r="K600" s="256"/>
      <c r="L600" s="256"/>
      <c r="M600" s="256"/>
      <c r="N600" s="257"/>
    </row>
    <row r="601" spans="1:62" ht="30" customHeight="1">
      <c r="A601" s="250" t="s">
        <v>1148</v>
      </c>
      <c r="B601" s="944" t="s">
        <v>972</v>
      </c>
      <c r="C601" s="944"/>
      <c r="D601" s="944"/>
      <c r="E601" s="944"/>
      <c r="F601" s="944"/>
      <c r="G601" s="944"/>
      <c r="H601" s="944"/>
      <c r="I601" s="944"/>
      <c r="J601" s="944"/>
      <c r="K601" s="944"/>
      <c r="L601" s="944"/>
      <c r="M601" s="251"/>
      <c r="N601" s="252" t="s">
        <v>1149</v>
      </c>
    </row>
    <row r="602" spans="1:62">
      <c r="A602" s="253"/>
      <c r="B602" s="28"/>
      <c r="C602" s="28"/>
      <c r="D602" s="28"/>
      <c r="E602" s="28"/>
      <c r="F602" s="28"/>
      <c r="G602" s="28"/>
      <c r="H602" s="322"/>
      <c r="I602" s="28"/>
      <c r="J602" s="28"/>
      <c r="K602" s="28"/>
      <c r="L602" s="28"/>
      <c r="M602" s="28"/>
      <c r="N602" s="254"/>
    </row>
    <row r="603" spans="1:62">
      <c r="A603" s="253"/>
      <c r="B603" s="1032" t="s">
        <v>652</v>
      </c>
      <c r="C603" s="1032"/>
      <c r="D603" s="1032"/>
      <c r="E603" s="1032"/>
      <c r="F603" s="1032"/>
      <c r="G603" s="1032"/>
      <c r="H603" s="1032"/>
      <c r="I603" s="1032"/>
      <c r="J603" s="1032"/>
      <c r="K603" s="1032"/>
      <c r="L603" s="1032"/>
      <c r="M603" s="1032"/>
      <c r="N603" s="254"/>
    </row>
    <row r="604" spans="1:62">
      <c r="A604" s="253"/>
      <c r="B604" s="1032"/>
      <c r="C604" s="1032"/>
      <c r="D604" s="1032"/>
      <c r="E604" s="1032"/>
      <c r="F604" s="1032"/>
      <c r="G604" s="1032"/>
      <c r="H604" s="1032"/>
      <c r="I604" s="1032"/>
      <c r="J604" s="1032"/>
      <c r="K604" s="1032"/>
      <c r="L604" s="1032"/>
      <c r="M604" s="1032"/>
      <c r="N604" s="254"/>
    </row>
    <row r="605" spans="1:62" ht="17.399999999999999">
      <c r="A605" s="253"/>
      <c r="B605" s="269"/>
      <c r="C605" s="269"/>
      <c r="D605" s="269"/>
      <c r="E605" s="269"/>
      <c r="F605" s="269"/>
      <c r="G605" s="269"/>
      <c r="H605" s="333"/>
      <c r="I605" s="269"/>
      <c r="J605" s="269"/>
      <c r="K605" s="269"/>
      <c r="L605" s="269"/>
      <c r="M605" s="269"/>
      <c r="N605" s="254"/>
      <c r="BE605" s="2" t="str">
        <f>BF74</f>
        <v>MOUSE OVER, CLICK MOUSE, AND SELECT OPTION FROM THIS DROPDOWN LIST.</v>
      </c>
      <c r="BH605" s="2" t="s">
        <v>962</v>
      </c>
      <c r="BJ605" s="2" t="s">
        <v>969</v>
      </c>
    </row>
    <row r="606" spans="1:62">
      <c r="A606" s="253"/>
      <c r="B606" s="1033" t="s">
        <v>953</v>
      </c>
      <c r="C606" s="1033"/>
      <c r="D606" s="1033"/>
      <c r="E606" s="1033"/>
      <c r="F606" s="1033"/>
      <c r="G606" s="28"/>
      <c r="H606" s="322"/>
      <c r="I606" s="1034" t="s">
        <v>954</v>
      </c>
      <c r="J606" s="1034"/>
      <c r="K606" s="1034"/>
      <c r="L606" s="1034"/>
      <c r="M606" s="1034"/>
      <c r="N606" s="254"/>
      <c r="BE606" s="2" t="str">
        <f>B606</f>
        <v>Pain is bad and best avoided.</v>
      </c>
      <c r="BH606" s="2" t="s">
        <v>965</v>
      </c>
      <c r="BJ606" s="2" t="s">
        <v>966</v>
      </c>
    </row>
    <row r="607" spans="1:62">
      <c r="A607" s="253"/>
      <c r="B607" s="1033"/>
      <c r="C607" s="1033"/>
      <c r="D607" s="1033"/>
      <c r="E607" s="1033"/>
      <c r="F607" s="1033"/>
      <c r="G607" s="28"/>
      <c r="H607" s="322"/>
      <c r="I607" s="1034"/>
      <c r="J607" s="1034"/>
      <c r="K607" s="1034"/>
      <c r="L607" s="1034"/>
      <c r="M607" s="1034"/>
      <c r="N607" s="254"/>
      <c r="BE607" s="2" t="str">
        <f>I606</f>
        <v>Pain is good and best embraced.</v>
      </c>
      <c r="BH607" s="2" t="s">
        <v>961</v>
      </c>
      <c r="BJ607" s="2" t="s">
        <v>967</v>
      </c>
    </row>
    <row r="608" spans="1:62">
      <c r="A608" s="253"/>
      <c r="B608" s="1033"/>
      <c r="C608" s="1033"/>
      <c r="D608" s="1033"/>
      <c r="E608" s="1033"/>
      <c r="F608" s="1033"/>
      <c r="G608" s="978" t="s">
        <v>635</v>
      </c>
      <c r="H608" s="978"/>
      <c r="I608" s="1034"/>
      <c r="J608" s="1034"/>
      <c r="K608" s="1034"/>
      <c r="L608" s="1034"/>
      <c r="M608" s="1034"/>
      <c r="N608" s="254"/>
      <c r="BH608" s="2" t="s">
        <v>1222</v>
      </c>
    </row>
    <row r="609" spans="1:66">
      <c r="A609" s="253"/>
      <c r="B609" s="1033"/>
      <c r="C609" s="1033"/>
      <c r="D609" s="1033"/>
      <c r="E609" s="1033"/>
      <c r="F609" s="1033"/>
      <c r="G609" s="978"/>
      <c r="H609" s="978"/>
      <c r="I609" s="1034"/>
      <c r="J609" s="1034"/>
      <c r="K609" s="1034"/>
      <c r="L609" s="1034"/>
      <c r="M609" s="1034"/>
      <c r="N609" s="254"/>
    </row>
    <row r="610" spans="1:66">
      <c r="A610" s="253"/>
      <c r="B610" s="1033"/>
      <c r="C610" s="1033"/>
      <c r="D610" s="1033"/>
      <c r="E610" s="1033"/>
      <c r="F610" s="1033"/>
      <c r="G610" s="978"/>
      <c r="H610" s="978"/>
      <c r="I610" s="1034"/>
      <c r="J610" s="1034"/>
      <c r="K610" s="1034"/>
      <c r="L610" s="1034"/>
      <c r="M610" s="1034"/>
      <c r="N610" s="254"/>
      <c r="BE610" s="2" t="str">
        <f>IF(E$612="",BH615,IF(E$612=B606,BH616,IF(E$612=I606,BH617)))</f>
        <v>Political leaders count on you to trust their one-size-fits-all generalizations. Do you trust their generalizations to ease your pain? Or do you fault these generalizations for keeping you in pain by overlooking your specific needs?</v>
      </c>
      <c r="BM610" s="2" t="s">
        <v>958</v>
      </c>
      <c r="BN610" s="47" t="s">
        <v>3</v>
      </c>
    </row>
    <row r="611" spans="1:66" ht="18" thickBot="1">
      <c r="A611" s="253"/>
      <c r="B611" s="269"/>
      <c r="C611" s="269"/>
      <c r="D611" s="269"/>
      <c r="E611" s="269"/>
      <c r="F611" s="269"/>
      <c r="G611" s="269"/>
      <c r="H611" s="333"/>
      <c r="I611" s="269"/>
      <c r="J611" s="269"/>
      <c r="K611" s="269"/>
      <c r="L611" s="269"/>
      <c r="M611" s="269"/>
      <c r="N611" s="254"/>
    </row>
    <row r="612" spans="1:66" ht="14.4" thickTop="1">
      <c r="A612" s="253"/>
      <c r="B612" s="270" t="s">
        <v>637</v>
      </c>
      <c r="C612" s="28"/>
      <c r="D612" s="28"/>
      <c r="E612" s="1035"/>
      <c r="F612" s="1036"/>
      <c r="G612" s="1036"/>
      <c r="H612" s="1036"/>
      <c r="I612" s="1036"/>
      <c r="J612" s="1036"/>
      <c r="K612" s="1036"/>
      <c r="L612" s="1036"/>
      <c r="M612" s="1037"/>
      <c r="N612" s="254"/>
      <c r="BE612" s="2" t="str">
        <f>IF(E$612="",BH619,IF(E$612=B606,BH620,IF(E$612=I606,BH621)))</f>
        <v>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v>
      </c>
    </row>
    <row r="613" spans="1:66" ht="14.4" thickBot="1">
      <c r="A613" s="253"/>
      <c r="B613" s="270" t="s">
        <v>638</v>
      </c>
      <c r="C613" s="28"/>
      <c r="D613" s="28"/>
      <c r="E613" s="1038"/>
      <c r="F613" s="1039"/>
      <c r="G613" s="1039"/>
      <c r="H613" s="1039"/>
      <c r="I613" s="1039"/>
      <c r="J613" s="1039"/>
      <c r="K613" s="1039"/>
      <c r="L613" s="1039"/>
      <c r="M613" s="1040"/>
      <c r="N613" s="254"/>
    </row>
    <row r="614" spans="1:66" ht="18" thickTop="1">
      <c r="A614" s="253"/>
      <c r="B614" s="269"/>
      <c r="C614" s="269"/>
      <c r="D614" s="269"/>
      <c r="E614" s="269"/>
      <c r="F614" s="269"/>
      <c r="G614" s="269"/>
      <c r="H614" s="333"/>
      <c r="I614" s="269"/>
      <c r="J614" s="269"/>
      <c r="K614" s="269"/>
      <c r="L614" s="269"/>
      <c r="M614" s="269"/>
      <c r="N614" s="254"/>
    </row>
    <row r="615" spans="1:66">
      <c r="A615" s="253"/>
      <c r="B615" s="1041" t="str">
        <f>BE610</f>
        <v>Political leaders count on you to trust their one-size-fits-all generalizations. Do you trust their generalizations to ease your pain? Or do you fault these generalizations for keeping you in pain by overlooking your specific needs?</v>
      </c>
      <c r="C615" s="1041"/>
      <c r="D615" s="1041"/>
      <c r="E615" s="1041"/>
      <c r="F615" s="1041"/>
      <c r="G615" s="1041"/>
      <c r="H615" s="1041"/>
      <c r="I615" s="1041"/>
      <c r="J615" s="1041"/>
      <c r="K615" s="1041"/>
      <c r="L615" s="1041"/>
      <c r="M615" s="1041"/>
      <c r="N615" s="254"/>
      <c r="BE615" s="157" t="s">
        <v>955</v>
      </c>
      <c r="BH615" s="2" t="s">
        <v>970</v>
      </c>
    </row>
    <row r="616" spans="1:66">
      <c r="A616" s="253"/>
      <c r="B616" s="1041"/>
      <c r="C616" s="1041"/>
      <c r="D616" s="1041"/>
      <c r="E616" s="1041"/>
      <c r="F616" s="1041"/>
      <c r="G616" s="1041"/>
      <c r="H616" s="1041"/>
      <c r="I616" s="1041"/>
      <c r="J616" s="1041"/>
      <c r="K616" s="1041"/>
      <c r="L616" s="1041"/>
      <c r="M616" s="1041"/>
      <c r="N616" s="254"/>
      <c r="BE616" s="157" t="s">
        <v>956</v>
      </c>
      <c r="BH616" s="2" t="s">
        <v>963</v>
      </c>
    </row>
    <row r="617" spans="1:66">
      <c r="A617" s="253"/>
      <c r="B617" s="1041"/>
      <c r="C617" s="1041"/>
      <c r="D617" s="1041"/>
      <c r="E617" s="1041"/>
      <c r="F617" s="1041"/>
      <c r="G617" s="1041"/>
      <c r="H617" s="1041"/>
      <c r="I617" s="1041"/>
      <c r="J617" s="1041"/>
      <c r="K617" s="1041"/>
      <c r="L617" s="1041"/>
      <c r="M617" s="1041"/>
      <c r="N617" s="254"/>
      <c r="BE617" s="157" t="s">
        <v>957</v>
      </c>
      <c r="BH617" s="2" t="s">
        <v>964</v>
      </c>
    </row>
    <row r="618" spans="1:66">
      <c r="A618" s="253"/>
      <c r="B618" s="1041"/>
      <c r="C618" s="1041"/>
      <c r="D618" s="1041"/>
      <c r="E618" s="1041"/>
      <c r="F618" s="1041"/>
      <c r="G618" s="1041"/>
      <c r="H618" s="1041"/>
      <c r="I618" s="1041"/>
      <c r="J618" s="1041"/>
      <c r="K618" s="1041"/>
      <c r="L618" s="1041"/>
      <c r="M618" s="1041"/>
      <c r="N618" s="254"/>
    </row>
    <row r="619" spans="1:66" ht="13.95" customHeight="1">
      <c r="A619" s="253"/>
      <c r="B619" s="1041" t="str">
        <f>BE612</f>
        <v>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v>
      </c>
      <c r="C619" s="1041"/>
      <c r="D619" s="1041"/>
      <c r="E619" s="1041"/>
      <c r="F619" s="1041"/>
      <c r="G619" s="1041"/>
      <c r="H619" s="1041"/>
      <c r="I619" s="1041"/>
      <c r="J619" s="1041"/>
      <c r="K619" s="1041"/>
      <c r="L619" s="1041"/>
      <c r="M619" s="1041"/>
      <c r="N619" s="254"/>
      <c r="BE619" s="157" t="s">
        <v>955</v>
      </c>
      <c r="BH619" s="2" t="s">
        <v>1221</v>
      </c>
    </row>
    <row r="620" spans="1:66" ht="13.95" customHeight="1">
      <c r="A620" s="253"/>
      <c r="B620" s="1041"/>
      <c r="C620" s="1041"/>
      <c r="D620" s="1041"/>
      <c r="E620" s="1041"/>
      <c r="F620" s="1041"/>
      <c r="G620" s="1041"/>
      <c r="H620" s="1041"/>
      <c r="I620" s="1041"/>
      <c r="J620" s="1041"/>
      <c r="K620" s="1041"/>
      <c r="L620" s="1041"/>
      <c r="M620" s="1041"/>
      <c r="N620" s="254"/>
      <c r="BE620" s="157" t="s">
        <v>956</v>
      </c>
      <c r="BH620" s="2" t="str">
        <f>CONCATENATE(BI620,BJ620,BK620,BL620,BM610,BM620)</f>
        <v>Your specific needs are unlike theirs. You specifically need differently from political opponents. The further the gap between your self-needs and social-needs, the further you slide politically to extremes. The more you generalize for relief, the less your specific needs resolve. The more you are then tempted to be dependent on political generalizations for relief. Trusting politics can trap you in pain.</v>
      </c>
      <c r="BI620" s="2" t="s">
        <v>960</v>
      </c>
      <c r="BJ620" s="2" t="str">
        <f>IF($BS$224&lt;0,BH606,IF($BS$224&gt;0,BH607,IF($BS$224=0,BH608)))</f>
        <v xml:space="preserve">political opponents. </v>
      </c>
      <c r="BK620" s="2" t="s">
        <v>959</v>
      </c>
      <c r="BL620" s="2" t="str">
        <f>IF($BS$224&lt;0,BJ606,IF($BS$224&gt;0,BJ607,IF($BS$224=0,BJ605)))</f>
        <v xml:space="preserve">to extremes. </v>
      </c>
      <c r="BM620" s="2" t="s">
        <v>968</v>
      </c>
    </row>
    <row r="621" spans="1:66" ht="13.95" customHeight="1">
      <c r="A621" s="253"/>
      <c r="B621" s="1041"/>
      <c r="C621" s="1041"/>
      <c r="D621" s="1041"/>
      <c r="E621" s="1041"/>
      <c r="F621" s="1041"/>
      <c r="G621" s="1041"/>
      <c r="H621" s="1041"/>
      <c r="I621" s="1041"/>
      <c r="J621" s="1041"/>
      <c r="K621" s="1041"/>
      <c r="L621" s="1041"/>
      <c r="M621" s="1041"/>
      <c r="N621" s="254"/>
      <c r="BE621" s="157" t="s">
        <v>957</v>
      </c>
      <c r="BH621" s="2" t="s">
        <v>971</v>
      </c>
    </row>
    <row r="622" spans="1:66" ht="13.95" customHeight="1">
      <c r="A622" s="253"/>
      <c r="B622" s="1041"/>
      <c r="C622" s="1041"/>
      <c r="D622" s="1041"/>
      <c r="E622" s="1041"/>
      <c r="F622" s="1041"/>
      <c r="G622" s="1041"/>
      <c r="H622" s="1041"/>
      <c r="I622" s="1041"/>
      <c r="J622" s="1041"/>
      <c r="K622" s="1041"/>
      <c r="L622" s="1041"/>
      <c r="M622" s="1041"/>
      <c r="N622" s="254"/>
    </row>
    <row r="623" spans="1:66" ht="13.95" customHeight="1">
      <c r="A623" s="253"/>
      <c r="B623" s="1041"/>
      <c r="C623" s="1041"/>
      <c r="D623" s="1041"/>
      <c r="E623" s="1041"/>
      <c r="F623" s="1041"/>
      <c r="G623" s="1041"/>
      <c r="H623" s="1041"/>
      <c r="I623" s="1041"/>
      <c r="J623" s="1041"/>
      <c r="K623" s="1041"/>
      <c r="L623" s="1041"/>
      <c r="M623" s="1041"/>
      <c r="N623" s="254"/>
    </row>
    <row r="624" spans="1:66" ht="13.95" customHeight="1">
      <c r="A624" s="253"/>
      <c r="B624" s="1041"/>
      <c r="C624" s="1041"/>
      <c r="D624" s="1041"/>
      <c r="E624" s="1041"/>
      <c r="F624" s="1041"/>
      <c r="G624" s="1041"/>
      <c r="H624" s="1041"/>
      <c r="I624" s="1041"/>
      <c r="J624" s="1041"/>
      <c r="K624" s="1041"/>
      <c r="L624" s="1041"/>
      <c r="M624" s="1041"/>
      <c r="N624" s="254"/>
    </row>
    <row r="625" spans="1:14">
      <c r="A625" s="253"/>
      <c r="B625" s="28"/>
      <c r="C625" s="28"/>
      <c r="D625" s="28"/>
      <c r="E625" s="28"/>
      <c r="F625" s="28"/>
      <c r="G625" s="28"/>
      <c r="H625" s="322"/>
      <c r="I625" s="28"/>
      <c r="J625" s="28"/>
      <c r="K625" s="28"/>
      <c r="L625" s="28"/>
      <c r="M625" s="28"/>
      <c r="N625" s="254"/>
    </row>
    <row r="626" spans="1:14">
      <c r="A626" s="253"/>
      <c r="B626" s="28"/>
      <c r="C626" s="28"/>
      <c r="D626" s="28"/>
      <c r="E626" s="28"/>
      <c r="F626" s="28"/>
      <c r="G626" s="28"/>
      <c r="H626" s="322"/>
      <c r="I626" s="28"/>
      <c r="J626" s="28"/>
      <c r="K626" s="28"/>
      <c r="L626" s="28"/>
      <c r="M626" s="28"/>
      <c r="N626" s="254"/>
    </row>
    <row r="627" spans="1:14">
      <c r="A627" s="253"/>
      <c r="B627" s="28"/>
      <c r="C627" s="28"/>
      <c r="D627" s="28"/>
      <c r="E627" s="28"/>
      <c r="F627" s="28"/>
      <c r="G627" s="28"/>
      <c r="H627" s="322"/>
      <c r="I627" s="28"/>
      <c r="J627" s="28"/>
      <c r="K627" s="28"/>
      <c r="L627" s="28"/>
      <c r="M627" s="28"/>
      <c r="N627" s="254"/>
    </row>
    <row r="628" spans="1:14">
      <c r="A628" s="253"/>
      <c r="B628" s="28"/>
      <c r="C628" s="28"/>
      <c r="D628" s="28"/>
      <c r="E628" s="28"/>
      <c r="F628" s="28"/>
      <c r="G628" s="28"/>
      <c r="H628" s="322"/>
      <c r="I628" s="28"/>
      <c r="J628" s="28"/>
      <c r="K628" s="28"/>
      <c r="L628" s="28"/>
      <c r="M628" s="28"/>
      <c r="N628" s="254"/>
    </row>
    <row r="629" spans="1:14">
      <c r="A629" s="253"/>
      <c r="B629" s="28"/>
      <c r="C629" s="28"/>
      <c r="D629" s="28"/>
      <c r="E629" s="28"/>
      <c r="F629" s="28"/>
      <c r="G629" s="28"/>
      <c r="H629" s="322"/>
      <c r="I629" s="28"/>
      <c r="J629" s="28"/>
      <c r="K629" s="28"/>
      <c r="L629" s="28"/>
      <c r="M629" s="28"/>
      <c r="N629" s="254"/>
    </row>
    <row r="630" spans="1:14">
      <c r="A630" s="253"/>
      <c r="B630" s="28"/>
      <c r="C630" s="28"/>
      <c r="D630" s="28"/>
      <c r="E630" s="28"/>
      <c r="F630" s="28"/>
      <c r="G630" s="28"/>
      <c r="H630" s="322"/>
      <c r="I630" s="28"/>
      <c r="J630" s="28"/>
      <c r="K630" s="28"/>
      <c r="L630" s="28"/>
      <c r="M630" s="28"/>
      <c r="N630" s="254"/>
    </row>
    <row r="631" spans="1:14">
      <c r="A631" s="253"/>
      <c r="B631" s="28"/>
      <c r="C631" s="28"/>
      <c r="D631" s="28"/>
      <c r="E631" s="28"/>
      <c r="F631" s="28"/>
      <c r="G631" s="28"/>
      <c r="H631" s="322"/>
      <c r="I631" s="28"/>
      <c r="J631" s="28"/>
      <c r="K631" s="28"/>
      <c r="L631" s="28"/>
      <c r="M631" s="28"/>
      <c r="N631" s="254"/>
    </row>
    <row r="632" spans="1:14">
      <c r="A632" s="253"/>
      <c r="B632" s="28"/>
      <c r="C632" s="28"/>
      <c r="D632" s="28"/>
      <c r="E632" s="28"/>
      <c r="F632" s="28"/>
      <c r="G632" s="28"/>
      <c r="H632" s="322"/>
      <c r="I632" s="28"/>
      <c r="J632" s="28"/>
      <c r="K632" s="28"/>
      <c r="L632" s="28"/>
      <c r="M632" s="28"/>
      <c r="N632" s="254"/>
    </row>
    <row r="633" spans="1:14">
      <c r="A633" s="253"/>
      <c r="B633" s="28"/>
      <c r="C633" s="28"/>
      <c r="D633" s="28"/>
      <c r="E633" s="28"/>
      <c r="F633" s="28"/>
      <c r="G633" s="28"/>
      <c r="H633" s="322"/>
      <c r="I633" s="28"/>
      <c r="J633" s="28"/>
      <c r="K633" s="28"/>
      <c r="L633" s="28"/>
      <c r="M633" s="28"/>
      <c r="N633" s="254"/>
    </row>
    <row r="634" spans="1:14">
      <c r="A634" s="253"/>
      <c r="B634" s="28"/>
      <c r="C634" s="28"/>
      <c r="D634" s="28"/>
      <c r="E634" s="28"/>
      <c r="F634" s="28"/>
      <c r="G634" s="28"/>
      <c r="H634" s="322"/>
      <c r="I634" s="28"/>
      <c r="J634" s="28"/>
      <c r="K634" s="28"/>
      <c r="L634" s="28"/>
      <c r="M634" s="28"/>
      <c r="N634" s="254"/>
    </row>
    <row r="635" spans="1:14">
      <c r="A635" s="253"/>
      <c r="B635" s="28"/>
      <c r="C635" s="28"/>
      <c r="D635" s="28"/>
      <c r="E635" s="28"/>
      <c r="F635" s="28"/>
      <c r="G635" s="28"/>
      <c r="H635" s="322"/>
      <c r="I635" s="28"/>
      <c r="J635" s="28"/>
      <c r="K635" s="28"/>
      <c r="L635" s="28"/>
      <c r="M635" s="28"/>
      <c r="N635" s="254"/>
    </row>
    <row r="636" spans="1:14">
      <c r="A636" s="253"/>
      <c r="B636" s="28"/>
      <c r="C636" s="28"/>
      <c r="D636" s="28"/>
      <c r="E636" s="28"/>
      <c r="F636" s="28"/>
      <c r="G636" s="28"/>
      <c r="H636" s="322"/>
      <c r="I636" s="28"/>
      <c r="J636" s="28"/>
      <c r="K636" s="28"/>
      <c r="L636" s="28"/>
      <c r="M636" s="28"/>
      <c r="N636" s="254"/>
    </row>
    <row r="637" spans="1:14">
      <c r="A637" s="253"/>
      <c r="B637" s="28"/>
      <c r="C637" s="28"/>
      <c r="D637" s="28"/>
      <c r="E637" s="28"/>
      <c r="F637" s="28"/>
      <c r="G637" s="28"/>
      <c r="H637" s="322"/>
      <c r="I637" s="28"/>
      <c r="J637" s="28"/>
      <c r="K637" s="28"/>
      <c r="L637" s="28"/>
      <c r="M637" s="28"/>
      <c r="N637" s="254"/>
    </row>
    <row r="638" spans="1:14">
      <c r="A638" s="253"/>
      <c r="B638" s="28"/>
      <c r="C638" s="28"/>
      <c r="D638" s="28"/>
      <c r="E638" s="28"/>
      <c r="F638" s="28"/>
      <c r="G638" s="28"/>
      <c r="H638" s="322"/>
      <c r="I638" s="28"/>
      <c r="J638" s="28"/>
      <c r="K638" s="28"/>
      <c r="L638" s="28"/>
      <c r="M638" s="28"/>
      <c r="N638" s="254"/>
    </row>
    <row r="639" spans="1:14">
      <c r="A639" s="253"/>
      <c r="B639" s="28"/>
      <c r="C639" s="28"/>
      <c r="D639" s="28"/>
      <c r="E639" s="28"/>
      <c r="F639" s="28"/>
      <c r="G639" s="28"/>
      <c r="H639" s="322"/>
      <c r="I639" s="28"/>
      <c r="J639" s="28"/>
      <c r="K639" s="28"/>
      <c r="L639" s="28"/>
      <c r="M639" s="28"/>
      <c r="N639" s="254"/>
    </row>
    <row r="640" spans="1:14">
      <c r="A640" s="253"/>
      <c r="B640" s="28"/>
      <c r="C640" s="28"/>
      <c r="D640" s="28"/>
      <c r="E640" s="28"/>
      <c r="F640" s="28"/>
      <c r="G640" s="28"/>
      <c r="H640" s="322"/>
      <c r="I640" s="28"/>
      <c r="J640" s="28"/>
      <c r="K640" s="28"/>
      <c r="L640" s="28"/>
      <c r="M640" s="28"/>
      <c r="N640" s="254"/>
    </row>
    <row r="641" spans="1:65">
      <c r="A641" s="253"/>
      <c r="B641" s="28"/>
      <c r="C641" s="28"/>
      <c r="D641" s="28"/>
      <c r="E641" s="28"/>
      <c r="F641" s="28"/>
      <c r="G641" s="28"/>
      <c r="H641" s="322"/>
      <c r="I641" s="28"/>
      <c r="J641" s="28"/>
      <c r="K641" s="28"/>
      <c r="L641" s="28"/>
      <c r="M641" s="28"/>
      <c r="N641" s="254"/>
    </row>
    <row r="642" spans="1:65">
      <c r="A642" s="253"/>
      <c r="B642" s="28"/>
      <c r="C642" s="28"/>
      <c r="D642" s="28"/>
      <c r="E642" s="28"/>
      <c r="F642" s="28"/>
      <c r="G642" s="28"/>
      <c r="H642" s="322"/>
      <c r="I642" s="28"/>
      <c r="J642" s="28"/>
      <c r="K642" s="28"/>
      <c r="L642" s="28"/>
      <c r="M642" s="28"/>
      <c r="N642" s="254"/>
    </row>
    <row r="643" spans="1:65">
      <c r="A643" s="253"/>
      <c r="B643" s="28"/>
      <c r="C643" s="28"/>
      <c r="D643" s="28"/>
      <c r="E643" s="28"/>
      <c r="F643" s="28"/>
      <c r="G643" s="28"/>
      <c r="H643" s="322"/>
      <c r="I643" s="28"/>
      <c r="J643" s="28"/>
      <c r="K643" s="28"/>
      <c r="L643" s="28"/>
      <c r="M643" s="28"/>
      <c r="N643" s="254"/>
    </row>
    <row r="644" spans="1:65">
      <c r="A644" s="253"/>
      <c r="B644" s="28"/>
      <c r="C644" s="28"/>
      <c r="D644" s="28"/>
      <c r="E644" s="28"/>
      <c r="F644" s="28"/>
      <c r="G644" s="28"/>
      <c r="H644" s="322"/>
      <c r="I644" s="28"/>
      <c r="J644" s="28"/>
      <c r="K644" s="28"/>
      <c r="L644" s="28"/>
      <c r="M644" s="28"/>
      <c r="N644" s="254"/>
    </row>
    <row r="645" spans="1:65">
      <c r="A645" s="253"/>
      <c r="B645" s="28"/>
      <c r="C645" s="28"/>
      <c r="D645" s="28"/>
      <c r="E645" s="28"/>
      <c r="F645" s="28"/>
      <c r="G645" s="28"/>
      <c r="H645" s="322"/>
      <c r="I645" s="28"/>
      <c r="J645" s="28"/>
      <c r="K645" s="28"/>
      <c r="L645" s="28"/>
      <c r="M645" s="28"/>
      <c r="N645" s="254"/>
    </row>
    <row r="646" spans="1:65">
      <c r="A646" s="255"/>
      <c r="B646" s="256"/>
      <c r="C646" s="256"/>
      <c r="D646" s="256"/>
      <c r="E646" s="256"/>
      <c r="F646" s="256"/>
      <c r="G646" s="256"/>
      <c r="H646" s="323"/>
      <c r="I646" s="256"/>
      <c r="J646" s="256"/>
      <c r="K646" s="256"/>
      <c r="L646" s="256"/>
      <c r="M646" s="256"/>
      <c r="N646" s="257"/>
    </row>
    <row r="647" spans="1:65" ht="30" customHeight="1">
      <c r="A647" s="250" t="s">
        <v>1148</v>
      </c>
      <c r="B647" s="944" t="s">
        <v>951</v>
      </c>
      <c r="C647" s="944"/>
      <c r="D647" s="944"/>
      <c r="E647" s="944"/>
      <c r="F647" s="944"/>
      <c r="G647" s="944"/>
      <c r="H647" s="944"/>
      <c r="I647" s="944"/>
      <c r="J647" s="944"/>
      <c r="K647" s="944"/>
      <c r="L647" s="944"/>
      <c r="M647" s="251"/>
      <c r="N647" s="252" t="s">
        <v>1149</v>
      </c>
    </row>
    <row r="648" spans="1:65" ht="13.95" customHeight="1">
      <c r="A648" s="253"/>
      <c r="B648" s="28"/>
      <c r="C648" s="28"/>
      <c r="D648" s="28"/>
      <c r="E648" s="28"/>
      <c r="F648" s="28"/>
      <c r="G648" s="28"/>
      <c r="H648" s="322"/>
      <c r="I648" s="28"/>
      <c r="J648" s="28"/>
      <c r="K648" s="28"/>
      <c r="L648" s="28"/>
      <c r="M648" s="28"/>
      <c r="N648" s="254"/>
    </row>
    <row r="649" spans="1:65" ht="13.95" customHeight="1">
      <c r="A649" s="253"/>
      <c r="B649" s="28"/>
      <c r="C649" s="28"/>
      <c r="D649" s="28"/>
      <c r="E649" s="28"/>
      <c r="F649" s="28"/>
      <c r="G649" s="28"/>
      <c r="H649" s="322"/>
      <c r="I649" s="28"/>
      <c r="J649" s="28"/>
      <c r="K649" s="28"/>
      <c r="L649" s="28"/>
      <c r="M649" s="28"/>
      <c r="N649" s="254"/>
    </row>
    <row r="650" spans="1:65" ht="14.4" customHeight="1">
      <c r="A650" s="253"/>
      <c r="B650" s="28"/>
      <c r="C650" s="28"/>
      <c r="D650" s="28"/>
      <c r="E650" s="28"/>
      <c r="F650" s="28"/>
      <c r="G650" s="28"/>
      <c r="H650" s="322"/>
      <c r="I650" s="28"/>
      <c r="J650" s="28"/>
      <c r="K650" s="28"/>
      <c r="L650" s="28"/>
      <c r="M650" s="28"/>
      <c r="N650" s="254"/>
    </row>
    <row r="651" spans="1:65" ht="13.95" customHeight="1">
      <c r="A651" s="253"/>
      <c r="B651" s="28"/>
      <c r="C651" s="28"/>
      <c r="D651" s="28"/>
      <c r="E651" s="28"/>
      <c r="F651" s="28"/>
      <c r="G651" s="28"/>
      <c r="H651" s="322"/>
      <c r="I651" s="28"/>
      <c r="J651" s="28"/>
      <c r="K651" s="28"/>
      <c r="L651" s="28"/>
      <c r="M651" s="28"/>
      <c r="N651" s="254"/>
    </row>
    <row r="652" spans="1:65">
      <c r="A652" s="253"/>
      <c r="B652" s="28"/>
      <c r="C652" s="28"/>
      <c r="D652" s="28"/>
      <c r="E652" s="28"/>
      <c r="F652" s="28"/>
      <c r="G652" s="28"/>
      <c r="H652" s="322"/>
      <c r="I652" s="28"/>
      <c r="J652" s="28"/>
      <c r="K652" s="28"/>
      <c r="L652" s="28"/>
      <c r="M652" s="28"/>
      <c r="N652" s="254"/>
    </row>
    <row r="653" spans="1:65">
      <c r="A653" s="253"/>
      <c r="B653" s="28"/>
      <c r="C653" s="28"/>
      <c r="D653" s="28"/>
      <c r="E653" s="28"/>
      <c r="F653" s="28"/>
      <c r="G653" s="28"/>
      <c r="H653" s="322"/>
      <c r="I653" s="28"/>
      <c r="J653" s="28"/>
      <c r="K653" s="28"/>
      <c r="L653" s="28"/>
      <c r="M653" s="28"/>
      <c r="N653" s="254"/>
    </row>
    <row r="654" spans="1:65">
      <c r="A654" s="253"/>
      <c r="B654" s="28"/>
      <c r="C654" s="28"/>
      <c r="D654" s="28"/>
      <c r="E654" s="28"/>
      <c r="F654" s="28"/>
      <c r="G654" s="28"/>
      <c r="H654" s="322"/>
      <c r="I654" s="28"/>
      <c r="J654" s="28"/>
      <c r="K654" s="28"/>
      <c r="L654" s="28"/>
      <c r="M654" s="28"/>
      <c r="N654" s="254"/>
    </row>
    <row r="655" spans="1:65">
      <c r="A655" s="253"/>
      <c r="B655" s="28"/>
      <c r="C655" s="28"/>
      <c r="D655" s="28"/>
      <c r="E655" s="28"/>
      <c r="F655" s="28"/>
      <c r="G655" s="28"/>
      <c r="H655" s="322"/>
      <c r="I655" s="28"/>
      <c r="J655" s="28"/>
      <c r="K655" s="28"/>
      <c r="L655" s="28"/>
      <c r="M655" s="28"/>
      <c r="N655" s="254"/>
    </row>
    <row r="656" spans="1:65" ht="16.2">
      <c r="A656" s="253"/>
      <c r="B656" s="28"/>
      <c r="C656" s="28"/>
      <c r="D656" s="28"/>
      <c r="E656" s="28"/>
      <c r="F656" s="28"/>
      <c r="G656" s="28"/>
      <c r="H656" s="322"/>
      <c r="I656" s="28"/>
      <c r="J656" s="28"/>
      <c r="K656" s="28"/>
      <c r="L656" s="28"/>
      <c r="M656" s="28"/>
      <c r="N656" s="254"/>
      <c r="BE656" s="49">
        <f t="shared" ref="BE656:BL656" si="4">BE210</f>
        <v>0</v>
      </c>
      <c r="BF656" s="49">
        <f t="shared" si="4"/>
        <v>0</v>
      </c>
      <c r="BG656" s="49">
        <f t="shared" si="4"/>
        <v>0</v>
      </c>
      <c r="BH656" s="49">
        <f t="shared" si="4"/>
        <v>0</v>
      </c>
      <c r="BI656" s="49">
        <f t="shared" si="4"/>
        <v>0</v>
      </c>
      <c r="BJ656" s="49">
        <f t="shared" si="4"/>
        <v>0</v>
      </c>
      <c r="BK656" s="49">
        <f t="shared" si="4"/>
        <v>0</v>
      </c>
      <c r="BL656" s="49">
        <f t="shared" si="4"/>
        <v>0</v>
      </c>
      <c r="BM656" s="47" t="s">
        <v>3</v>
      </c>
    </row>
    <row r="657" spans="1:65" ht="15.6" customHeight="1">
      <c r="A657" s="253"/>
      <c r="B657" s="28"/>
      <c r="C657" s="28"/>
      <c r="D657" s="28"/>
      <c r="E657" s="28"/>
      <c r="F657" s="28"/>
      <c r="G657" s="28"/>
      <c r="H657" s="322"/>
      <c r="I657" s="28"/>
      <c r="J657" s="28"/>
      <c r="K657" s="28"/>
      <c r="L657" s="28"/>
      <c r="M657" s="28"/>
      <c r="N657" s="254"/>
      <c r="BB657" s="2" t="str">
        <f>IF($P$407=BB$92,BE657,IF($P$407=BB$93,BF657,IF($P$407=BB$94,BG657,IF($P$407=BB$95,BH657,IF($P$407=BB$96,BI657,IF($P$407=BB$97,BJ657,IF($P$407=BB$98,BK657,IF($P$407=BB$99,BL657,""))))))))</f>
        <v>The more you affirm my need to include worthy migrants, the easier to respect your need to stay safe from violent migrants.</v>
      </c>
      <c r="BD657" s="131" t="s">
        <v>602</v>
      </c>
      <c r="BE657" s="2" t="s">
        <v>606</v>
      </c>
      <c r="BF657" s="2" t="s">
        <v>598</v>
      </c>
      <c r="BG657" s="2" t="s">
        <v>610</v>
      </c>
      <c r="BH657" s="2" t="s">
        <v>614</v>
      </c>
      <c r="BI657" s="2" t="s">
        <v>632</v>
      </c>
      <c r="BJ657" s="2" t="s">
        <v>620</v>
      </c>
      <c r="BK657" s="2" t="s">
        <v>624</v>
      </c>
      <c r="BL657" s="2" t="s">
        <v>628</v>
      </c>
      <c r="BM657" s="47" t="s">
        <v>3</v>
      </c>
    </row>
    <row r="658" spans="1:65" ht="15" customHeight="1">
      <c r="A658" s="253"/>
      <c r="B658" s="28"/>
      <c r="C658" s="28"/>
      <c r="D658" s="28"/>
      <c r="E658" s="28"/>
      <c r="F658" s="28"/>
      <c r="G658" s="28"/>
      <c r="H658" s="322"/>
      <c r="I658" s="28"/>
      <c r="J658" s="28"/>
      <c r="K658" s="28"/>
      <c r="L658" s="28"/>
      <c r="M658" s="28"/>
      <c r="N658" s="254"/>
      <c r="BB658" s="2" t="str">
        <f>IF($P$407=BB$92,BE658,IF($P$407=BB$93,BF658,IF($P$407=BB$94,BG658,IF($P$407=BB$95,BH658,IF($P$407=BB$96,BI658,IF($P$407=BB$97,BJ658,IF($P$407=BB$98,BK658,IF($P$407=BB$99,BL658,""))))))))</f>
        <v>But the more you insist we all blend in to some melting pot, the less I can serve your need for local or national cohesion.</v>
      </c>
      <c r="BD658" s="131" t="s">
        <v>603</v>
      </c>
      <c r="BE658" s="2" t="s">
        <v>607</v>
      </c>
      <c r="BF658" s="2" t="s">
        <v>599</v>
      </c>
      <c r="BG658" s="2" t="s">
        <v>611</v>
      </c>
      <c r="BH658" s="2" t="s">
        <v>615</v>
      </c>
      <c r="BI658" s="132" t="s">
        <v>618</v>
      </c>
      <c r="BJ658" s="2" t="s">
        <v>621</v>
      </c>
      <c r="BK658" s="2" t="s">
        <v>625</v>
      </c>
      <c r="BL658" s="2" t="s">
        <v>629</v>
      </c>
      <c r="BM658" s="47" t="s">
        <v>3</v>
      </c>
    </row>
    <row r="659" spans="1:65" ht="15" customHeight="1">
      <c r="A659" s="253"/>
      <c r="B659" s="28"/>
      <c r="C659" s="28"/>
      <c r="D659" s="28"/>
      <c r="E659" s="28"/>
      <c r="F659" s="28"/>
      <c r="G659" s="28"/>
      <c r="H659" s="322"/>
      <c r="I659" s="28"/>
      <c r="J659" s="28"/>
      <c r="K659" s="28"/>
      <c r="L659" s="28"/>
      <c r="M659" s="28"/>
      <c r="N659" s="254"/>
      <c r="BB659" s="2" t="str">
        <f>IF($P$407=BB$92,BE659,IF($P$407=BB$93,BF659,IF($P$407=BB$94,BG659,IF($P$407=BB$95,BH659,IF($P$407=BB$96,BI659,IF($P$407=BB$97,BJ659,IF($P$407=BB$98,BK659,IF($P$407=BB$99,BL659,""))))))))</f>
        <v>The more you affirm my need to stay safe from lawless migrants, the easier to respect your need to include legitimate migrants.</v>
      </c>
      <c r="BD659" s="131" t="s">
        <v>604</v>
      </c>
      <c r="BE659" s="2" t="s">
        <v>608</v>
      </c>
      <c r="BF659" s="2" t="s">
        <v>600</v>
      </c>
      <c r="BG659" s="2" t="s">
        <v>612</v>
      </c>
      <c r="BH659" s="2" t="s">
        <v>616</v>
      </c>
      <c r="BI659" s="2" t="s">
        <v>619</v>
      </c>
      <c r="BJ659" s="2" t="s">
        <v>622</v>
      </c>
      <c r="BK659" s="2" t="s">
        <v>626</v>
      </c>
      <c r="BL659" s="2" t="s">
        <v>630</v>
      </c>
      <c r="BM659" s="47" t="s">
        <v>3</v>
      </c>
    </row>
    <row r="660" spans="1:65" ht="15" customHeight="1">
      <c r="A660" s="253"/>
      <c r="B660" s="28"/>
      <c r="C660" s="28"/>
      <c r="D660" s="28"/>
      <c r="E660" s="28"/>
      <c r="F660" s="28"/>
      <c r="G660" s="28"/>
      <c r="H660" s="322"/>
      <c r="I660" s="28"/>
      <c r="J660" s="28"/>
      <c r="K660" s="28"/>
      <c r="L660" s="28"/>
      <c r="M660" s="28"/>
      <c r="N660" s="254"/>
      <c r="BB660" s="2" t="str">
        <f>IF($P$407=BB$92,BE660,IF($P$407=BB$93,BF660,IF($P$407=BB$94,BG660,IF($P$407=BB$95,BH660,IF($P$407=BB$96,BI660,IF($P$407=BB$97,BJ660,IF($P$407=BB$98,BK660,IF($P$407=BB$99,BL660,""))))))))</f>
        <v>But the more you insist we compromise our national cohesion, the less I can accept their lack of acculturation.</v>
      </c>
      <c r="BD660" s="131" t="s">
        <v>605</v>
      </c>
      <c r="BE660" s="2" t="s">
        <v>609</v>
      </c>
      <c r="BF660" s="2" t="s">
        <v>601</v>
      </c>
      <c r="BG660" s="2" t="s">
        <v>613</v>
      </c>
      <c r="BH660" s="2" t="s">
        <v>617</v>
      </c>
      <c r="BI660" s="2" t="s">
        <v>633</v>
      </c>
      <c r="BJ660" s="2" t="s">
        <v>623</v>
      </c>
      <c r="BK660" s="2" t="s">
        <v>627</v>
      </c>
      <c r="BL660" s="2" t="s">
        <v>631</v>
      </c>
      <c r="BM660" s="47" t="s">
        <v>3</v>
      </c>
    </row>
    <row r="661" spans="1:65" ht="13.95" customHeight="1">
      <c r="A661" s="253"/>
      <c r="B661" s="28"/>
      <c r="C661" s="28"/>
      <c r="D661" s="28"/>
      <c r="E661" s="28"/>
      <c r="F661" s="28"/>
      <c r="G661" s="28"/>
      <c r="H661" s="322"/>
      <c r="I661" s="28"/>
      <c r="J661" s="28"/>
      <c r="K661" s="28"/>
      <c r="L661" s="28"/>
      <c r="M661" s="28"/>
      <c r="N661" s="254"/>
    </row>
    <row r="662" spans="1:65" ht="13.95" customHeight="1">
      <c r="A662" s="253"/>
      <c r="B662" s="28"/>
      <c r="C662" s="28"/>
      <c r="D662" s="28"/>
      <c r="E662" s="28"/>
      <c r="F662" s="28"/>
      <c r="G662" s="28"/>
      <c r="H662" s="322"/>
      <c r="I662" s="28"/>
      <c r="J662" s="28"/>
      <c r="K662" s="28"/>
      <c r="L662" s="28"/>
      <c r="M662" s="28"/>
      <c r="N662" s="254"/>
    </row>
    <row r="663" spans="1:65" ht="13.95" customHeight="1">
      <c r="A663" s="253"/>
      <c r="B663" s="28"/>
      <c r="C663" s="28"/>
      <c r="D663" s="28"/>
      <c r="E663" s="28"/>
      <c r="F663" s="28"/>
      <c r="G663" s="28"/>
      <c r="H663" s="322"/>
      <c r="I663" s="28"/>
      <c r="J663" s="28"/>
      <c r="K663" s="28"/>
      <c r="L663" s="28"/>
      <c r="M663" s="28"/>
      <c r="N663" s="254"/>
    </row>
    <row r="664" spans="1:65" ht="13.95" customHeight="1">
      <c r="A664" s="253"/>
      <c r="B664" s="28"/>
      <c r="C664" s="28"/>
      <c r="D664" s="28"/>
      <c r="E664" s="28"/>
      <c r="F664" s="28"/>
      <c r="G664" s="28"/>
      <c r="H664" s="322"/>
      <c r="I664" s="28"/>
      <c r="J664" s="28"/>
      <c r="K664" s="28"/>
      <c r="L664" s="28"/>
      <c r="M664" s="28"/>
      <c r="N664" s="254"/>
    </row>
    <row r="665" spans="1:65" ht="13.95" customHeight="1">
      <c r="A665" s="253"/>
      <c r="B665" s="28"/>
      <c r="C665" s="28"/>
      <c r="D665" s="28"/>
      <c r="E665" s="28"/>
      <c r="F665" s="28"/>
      <c r="G665" s="28"/>
      <c r="H665" s="322"/>
      <c r="I665" s="28"/>
      <c r="J665" s="28"/>
      <c r="K665" s="28"/>
      <c r="L665" s="28"/>
      <c r="M665" s="28"/>
      <c r="N665" s="254"/>
    </row>
    <row r="666" spans="1:65" ht="13.95" customHeight="1">
      <c r="A666" s="253"/>
      <c r="B666" s="28"/>
      <c r="C666" s="28"/>
      <c r="D666" s="28"/>
      <c r="E666" s="28"/>
      <c r="F666" s="28"/>
      <c r="G666" s="28"/>
      <c r="H666" s="322"/>
      <c r="I666" s="28"/>
      <c r="J666" s="28"/>
      <c r="K666" s="28"/>
      <c r="L666" s="28"/>
      <c r="M666" s="28"/>
      <c r="N666" s="254"/>
    </row>
    <row r="667" spans="1:65" ht="13.95" customHeight="1">
      <c r="A667" s="253"/>
      <c r="B667" s="28"/>
      <c r="C667" s="28"/>
      <c r="D667" s="28"/>
      <c r="E667" s="28"/>
      <c r="F667" s="28"/>
      <c r="G667" s="28"/>
      <c r="H667" s="322"/>
      <c r="I667" s="28"/>
      <c r="J667" s="28"/>
      <c r="K667" s="28"/>
      <c r="L667" s="28"/>
      <c r="M667" s="28"/>
      <c r="N667" s="254"/>
    </row>
    <row r="668" spans="1:65" ht="13.95" customHeight="1">
      <c r="A668" s="253"/>
      <c r="B668" s="28"/>
      <c r="C668" s="28"/>
      <c r="D668" s="28"/>
      <c r="E668" s="28"/>
      <c r="F668" s="28"/>
      <c r="G668" s="28"/>
      <c r="H668" s="322"/>
      <c r="I668" s="28"/>
      <c r="J668" s="28"/>
      <c r="K668" s="28"/>
      <c r="L668" s="28"/>
      <c r="M668" s="28"/>
      <c r="N668" s="254"/>
    </row>
    <row r="669" spans="1:65" ht="13.95" customHeight="1">
      <c r="A669" s="253"/>
      <c r="B669" s="28"/>
      <c r="C669" s="28"/>
      <c r="D669" s="28"/>
      <c r="E669" s="28"/>
      <c r="F669" s="28"/>
      <c r="G669" s="28"/>
      <c r="H669" s="322"/>
      <c r="I669" s="28"/>
      <c r="J669" s="28"/>
      <c r="K669" s="28"/>
      <c r="L669" s="28"/>
      <c r="M669" s="28"/>
      <c r="N669" s="254"/>
    </row>
    <row r="670" spans="1:65" ht="13.95" customHeight="1">
      <c r="A670" s="253"/>
      <c r="B670" s="28"/>
      <c r="C670" s="28"/>
      <c r="D670" s="28"/>
      <c r="E670" s="28"/>
      <c r="F670" s="28"/>
      <c r="G670" s="28"/>
      <c r="H670" s="322"/>
      <c r="I670" s="28"/>
      <c r="J670" s="28"/>
      <c r="K670" s="28"/>
      <c r="L670" s="28"/>
      <c r="M670" s="28"/>
      <c r="N670" s="254"/>
    </row>
    <row r="671" spans="1:65" ht="13.95" customHeight="1">
      <c r="A671" s="253"/>
      <c r="B671" s="28"/>
      <c r="C671" s="28"/>
      <c r="D671" s="28"/>
      <c r="E671" s="28"/>
      <c r="F671" s="28"/>
      <c r="G671" s="28"/>
      <c r="H671" s="322"/>
      <c r="I671" s="28"/>
      <c r="J671" s="28"/>
      <c r="K671" s="28"/>
      <c r="L671" s="28"/>
      <c r="M671" s="28"/>
      <c r="N671" s="254"/>
    </row>
    <row r="672" spans="1:65" ht="13.95" customHeight="1">
      <c r="A672" s="253"/>
      <c r="B672" s="28"/>
      <c r="C672" s="28"/>
      <c r="D672" s="28"/>
      <c r="E672" s="28"/>
      <c r="F672" s="28"/>
      <c r="G672" s="28"/>
      <c r="H672" s="322"/>
      <c r="I672" s="28"/>
      <c r="J672" s="28"/>
      <c r="K672" s="28"/>
      <c r="L672" s="28"/>
      <c r="M672" s="28"/>
      <c r="N672" s="254"/>
    </row>
    <row r="673" spans="1:14" ht="13.95" customHeight="1">
      <c r="A673" s="253"/>
      <c r="B673" s="28"/>
      <c r="C673" s="28"/>
      <c r="D673" s="28"/>
      <c r="E673" s="28"/>
      <c r="F673" s="28"/>
      <c r="G673" s="28"/>
      <c r="H673" s="322"/>
      <c r="I673" s="28"/>
      <c r="J673" s="28"/>
      <c r="K673" s="28"/>
      <c r="L673" s="28"/>
      <c r="M673" s="28"/>
      <c r="N673" s="254"/>
    </row>
    <row r="674" spans="1:14" ht="13.95" customHeight="1">
      <c r="A674" s="253"/>
      <c r="B674" s="28"/>
      <c r="C674" s="28"/>
      <c r="D674" s="28"/>
      <c r="E674" s="28"/>
      <c r="F674" s="28"/>
      <c r="G674" s="28"/>
      <c r="H674" s="322"/>
      <c r="I674" s="28"/>
      <c r="J674" s="28"/>
      <c r="K674" s="28"/>
      <c r="L674" s="28"/>
      <c r="M674" s="28"/>
      <c r="N674" s="254"/>
    </row>
    <row r="675" spans="1:14" ht="13.95" customHeight="1">
      <c r="A675" s="253"/>
      <c r="B675" s="28"/>
      <c r="C675" s="28"/>
      <c r="D675" s="28"/>
      <c r="E675" s="28"/>
      <c r="F675" s="28"/>
      <c r="G675" s="28"/>
      <c r="H675" s="322"/>
      <c r="I675" s="28"/>
      <c r="J675" s="28"/>
      <c r="K675" s="28"/>
      <c r="L675" s="28"/>
      <c r="M675" s="28"/>
      <c r="N675" s="254"/>
    </row>
    <row r="676" spans="1:14" ht="13.95" customHeight="1">
      <c r="A676" s="253"/>
      <c r="B676" s="28"/>
      <c r="C676" s="28"/>
      <c r="D676" s="28"/>
      <c r="E676" s="28"/>
      <c r="F676" s="28"/>
      <c r="G676" s="28"/>
      <c r="H676" s="322"/>
      <c r="I676" s="28"/>
      <c r="J676" s="28"/>
      <c r="K676" s="28"/>
      <c r="L676" s="28"/>
      <c r="M676" s="28"/>
      <c r="N676" s="254"/>
    </row>
    <row r="677" spans="1:14" ht="13.95" customHeight="1">
      <c r="A677" s="253"/>
      <c r="B677" s="28"/>
      <c r="C677" s="28"/>
      <c r="D677" s="28"/>
      <c r="E677" s="28"/>
      <c r="F677" s="28"/>
      <c r="G677" s="28"/>
      <c r="H677" s="322"/>
      <c r="I677" s="28"/>
      <c r="J677" s="28"/>
      <c r="K677" s="28"/>
      <c r="L677" s="28"/>
      <c r="M677" s="28"/>
      <c r="N677" s="254"/>
    </row>
    <row r="678" spans="1:14">
      <c r="A678" s="253"/>
      <c r="B678" s="28"/>
      <c r="C678" s="28"/>
      <c r="D678" s="28"/>
      <c r="E678" s="28"/>
      <c r="F678" s="28"/>
      <c r="G678" s="28"/>
      <c r="H678" s="322"/>
      <c r="I678" s="28"/>
      <c r="J678" s="28"/>
      <c r="K678" s="28"/>
      <c r="L678" s="28"/>
      <c r="M678" s="28"/>
      <c r="N678" s="254"/>
    </row>
    <row r="679" spans="1:14">
      <c r="A679" s="253"/>
      <c r="B679" s="28"/>
      <c r="C679" s="28"/>
      <c r="D679" s="28"/>
      <c r="E679" s="28"/>
      <c r="F679" s="28"/>
      <c r="G679" s="28"/>
      <c r="H679" s="322"/>
      <c r="I679" s="28"/>
      <c r="J679" s="28"/>
      <c r="K679" s="28"/>
      <c r="L679" s="28"/>
      <c r="M679" s="28"/>
      <c r="N679" s="254"/>
    </row>
    <row r="680" spans="1:14">
      <c r="A680" s="253"/>
      <c r="B680" s="28"/>
      <c r="C680" s="28"/>
      <c r="D680" s="28"/>
      <c r="E680" s="28"/>
      <c r="F680" s="28"/>
      <c r="G680" s="28"/>
      <c r="H680" s="322"/>
      <c r="I680" s="28"/>
      <c r="J680" s="28"/>
      <c r="K680" s="28"/>
      <c r="L680" s="28"/>
      <c r="M680" s="28"/>
      <c r="N680" s="254"/>
    </row>
    <row r="681" spans="1:14">
      <c r="A681" s="253"/>
      <c r="B681" s="28"/>
      <c r="C681" s="28"/>
      <c r="D681" s="28"/>
      <c r="E681" s="28"/>
      <c r="F681" s="28"/>
      <c r="G681" s="28"/>
      <c r="H681" s="322"/>
      <c r="I681" s="28"/>
      <c r="J681" s="28"/>
      <c r="K681" s="28"/>
      <c r="L681" s="28"/>
      <c r="M681" s="28"/>
      <c r="N681" s="254"/>
    </row>
    <row r="682" spans="1:14">
      <c r="A682" s="253"/>
      <c r="B682" s="28"/>
      <c r="C682" s="28"/>
      <c r="D682" s="28"/>
      <c r="E682" s="28"/>
      <c r="F682" s="28"/>
      <c r="G682" s="28"/>
      <c r="H682" s="322"/>
      <c r="I682" s="28"/>
      <c r="J682" s="28"/>
      <c r="K682" s="28"/>
      <c r="L682" s="28"/>
      <c r="M682" s="28"/>
      <c r="N682" s="254"/>
    </row>
    <row r="683" spans="1:14">
      <c r="A683" s="253"/>
      <c r="B683" s="28"/>
      <c r="C683" s="28"/>
      <c r="D683" s="28"/>
      <c r="E683" s="28"/>
      <c r="F683" s="28"/>
      <c r="G683" s="28"/>
      <c r="H683" s="322"/>
      <c r="I683" s="28"/>
      <c r="J683" s="28"/>
      <c r="K683" s="28"/>
      <c r="L683" s="28"/>
      <c r="M683" s="28"/>
      <c r="N683" s="254"/>
    </row>
    <row r="684" spans="1:14">
      <c r="A684" s="253"/>
      <c r="B684" s="28"/>
      <c r="C684" s="28"/>
      <c r="D684" s="28"/>
      <c r="E684" s="28"/>
      <c r="F684" s="28"/>
      <c r="G684" s="28"/>
      <c r="H684" s="322"/>
      <c r="I684" s="28"/>
      <c r="J684" s="28"/>
      <c r="K684" s="28"/>
      <c r="L684" s="28"/>
      <c r="M684" s="28"/>
      <c r="N684" s="254"/>
    </row>
    <row r="685" spans="1:14">
      <c r="A685" s="253"/>
      <c r="B685" s="28"/>
      <c r="C685" s="28"/>
      <c r="D685" s="28"/>
      <c r="E685" s="28"/>
      <c r="F685" s="28"/>
      <c r="G685" s="28"/>
      <c r="H685" s="322"/>
      <c r="I685" s="28"/>
      <c r="J685" s="28"/>
      <c r="K685" s="28"/>
      <c r="L685" s="28"/>
      <c r="M685" s="28"/>
      <c r="N685" s="254"/>
    </row>
    <row r="686" spans="1:14">
      <c r="A686" s="253"/>
      <c r="B686" s="28"/>
      <c r="C686" s="28"/>
      <c r="D686" s="28"/>
      <c r="E686" s="28"/>
      <c r="F686" s="28"/>
      <c r="G686" s="28"/>
      <c r="H686" s="322"/>
      <c r="I686" s="28"/>
      <c r="J686" s="28"/>
      <c r="K686" s="28"/>
      <c r="L686" s="28"/>
      <c r="M686" s="28"/>
      <c r="N686" s="254"/>
    </row>
    <row r="687" spans="1:14">
      <c r="A687" s="253"/>
      <c r="B687" s="28"/>
      <c r="C687" s="28"/>
      <c r="D687" s="28"/>
      <c r="E687" s="28"/>
      <c r="F687" s="28"/>
      <c r="G687" s="28"/>
      <c r="H687" s="322"/>
      <c r="I687" s="28"/>
      <c r="J687" s="28"/>
      <c r="K687" s="28"/>
      <c r="L687" s="28"/>
      <c r="M687" s="28"/>
      <c r="N687" s="254"/>
    </row>
    <row r="688" spans="1:14">
      <c r="A688" s="253"/>
      <c r="B688" s="28"/>
      <c r="C688" s="28"/>
      <c r="D688" s="28"/>
      <c r="E688" s="28"/>
      <c r="F688" s="28"/>
      <c r="G688" s="28"/>
      <c r="H688" s="322"/>
      <c r="I688" s="28"/>
      <c r="J688" s="28"/>
      <c r="K688" s="28"/>
      <c r="L688" s="28"/>
      <c r="M688" s="28"/>
      <c r="N688" s="254"/>
    </row>
    <row r="689" spans="1:14">
      <c r="A689" s="253"/>
      <c r="B689" s="28"/>
      <c r="C689" s="28"/>
      <c r="D689" s="28"/>
      <c r="E689" s="28"/>
      <c r="F689" s="28"/>
      <c r="G689" s="28"/>
      <c r="H689" s="322"/>
      <c r="I689" s="28"/>
      <c r="J689" s="28"/>
      <c r="K689" s="28"/>
      <c r="L689" s="28"/>
      <c r="M689" s="28"/>
      <c r="N689" s="254"/>
    </row>
    <row r="690" spans="1:14">
      <c r="A690" s="253"/>
      <c r="B690" s="28"/>
      <c r="C690" s="28"/>
      <c r="D690" s="28"/>
      <c r="E690" s="28"/>
      <c r="F690" s="28"/>
      <c r="G690" s="28"/>
      <c r="H690" s="322"/>
      <c r="I690" s="28"/>
      <c r="J690" s="28"/>
      <c r="K690" s="28"/>
      <c r="L690" s="28"/>
      <c r="M690" s="28"/>
      <c r="N690" s="254"/>
    </row>
    <row r="691" spans="1:14">
      <c r="A691" s="253"/>
      <c r="B691" s="28"/>
      <c r="C691" s="28"/>
      <c r="D691" s="28"/>
      <c r="E691" s="28"/>
      <c r="F691" s="28"/>
      <c r="G691" s="28"/>
      <c r="H691" s="322"/>
      <c r="I691" s="28"/>
      <c r="J691" s="28"/>
      <c r="K691" s="28"/>
      <c r="L691" s="28"/>
      <c r="M691" s="28"/>
      <c r="N691" s="254"/>
    </row>
    <row r="692" spans="1:14">
      <c r="A692" s="253"/>
      <c r="B692" s="28"/>
      <c r="C692" s="28"/>
      <c r="D692" s="28"/>
      <c r="E692" s="28"/>
      <c r="F692" s="28"/>
      <c r="G692" s="28"/>
      <c r="H692" s="322"/>
      <c r="I692" s="28"/>
      <c r="J692" s="28"/>
      <c r="K692" s="28"/>
      <c r="L692" s="28"/>
      <c r="M692" s="28"/>
      <c r="N692" s="254"/>
    </row>
    <row r="693" spans="1:14">
      <c r="A693" s="255"/>
      <c r="B693" s="256"/>
      <c r="C693" s="256"/>
      <c r="D693" s="256"/>
      <c r="E693" s="256"/>
      <c r="F693" s="256"/>
      <c r="G693" s="256"/>
      <c r="H693" s="323"/>
      <c r="I693" s="256"/>
      <c r="J693" s="256"/>
      <c r="K693" s="256"/>
      <c r="L693" s="256"/>
      <c r="M693" s="256"/>
      <c r="N693" s="257"/>
    </row>
    <row r="694" spans="1:14" ht="30" customHeight="1">
      <c r="A694" s="250" t="s">
        <v>1148</v>
      </c>
      <c r="B694" s="944" t="s">
        <v>1157</v>
      </c>
      <c r="C694" s="944"/>
      <c r="D694" s="944"/>
      <c r="E694" s="944"/>
      <c r="F694" s="944"/>
      <c r="G694" s="944"/>
      <c r="H694" s="944"/>
      <c r="I694" s="944"/>
      <c r="J694" s="944"/>
      <c r="K694" s="944"/>
      <c r="L694" s="944"/>
      <c r="M694" s="251"/>
      <c r="N694" s="252" t="s">
        <v>1149</v>
      </c>
    </row>
    <row r="695" spans="1:14">
      <c r="A695" s="253"/>
      <c r="B695" s="28"/>
      <c r="C695" s="28"/>
      <c r="D695" s="28"/>
      <c r="E695" s="28"/>
      <c r="F695" s="28"/>
      <c r="G695" s="28"/>
      <c r="H695" s="322"/>
      <c r="I695" s="28"/>
      <c r="J695" s="28"/>
      <c r="K695" s="28"/>
      <c r="L695" s="28"/>
      <c r="M695" s="28"/>
      <c r="N695" s="254"/>
    </row>
    <row r="696" spans="1:14">
      <c r="A696" s="253"/>
      <c r="B696" s="28"/>
      <c r="C696" s="28"/>
      <c r="D696" s="28"/>
      <c r="E696" s="28"/>
      <c r="F696" s="28"/>
      <c r="G696" s="28"/>
      <c r="H696" s="322"/>
      <c r="I696" s="28"/>
      <c r="J696" s="28"/>
      <c r="K696" s="28"/>
      <c r="L696" s="28"/>
      <c r="M696" s="28"/>
      <c r="N696" s="254"/>
    </row>
    <row r="697" spans="1:14">
      <c r="A697" s="253"/>
      <c r="B697" s="28"/>
      <c r="C697" s="28"/>
      <c r="D697" s="28"/>
      <c r="E697" s="28"/>
      <c r="F697" s="28"/>
      <c r="G697" s="28"/>
      <c r="H697" s="322"/>
      <c r="I697" s="28"/>
      <c r="J697" s="28"/>
      <c r="K697" s="28"/>
      <c r="L697" s="28"/>
      <c r="M697" s="28"/>
      <c r="N697" s="254"/>
    </row>
    <row r="698" spans="1:14">
      <c r="A698" s="253"/>
      <c r="B698" s="28"/>
      <c r="C698" s="28"/>
      <c r="D698" s="28"/>
      <c r="E698" s="28"/>
      <c r="F698" s="28"/>
      <c r="G698" s="28"/>
      <c r="H698" s="322"/>
      <c r="I698" s="28"/>
      <c r="J698" s="28"/>
      <c r="K698" s="28"/>
      <c r="L698" s="28"/>
      <c r="M698" s="28"/>
      <c r="N698" s="254"/>
    </row>
    <row r="699" spans="1:14">
      <c r="A699" s="253"/>
      <c r="B699" s="28"/>
      <c r="C699" s="28"/>
      <c r="D699" s="28"/>
      <c r="E699" s="28"/>
      <c r="F699" s="28"/>
      <c r="G699" s="28"/>
      <c r="H699" s="322"/>
      <c r="I699" s="28"/>
      <c r="J699" s="28"/>
      <c r="K699" s="28"/>
      <c r="L699" s="28"/>
      <c r="M699" s="28"/>
      <c r="N699" s="254"/>
    </row>
    <row r="700" spans="1:14">
      <c r="A700" s="253"/>
      <c r="B700" s="28"/>
      <c r="C700" s="28"/>
      <c r="D700" s="28"/>
      <c r="E700" s="28"/>
      <c r="F700" s="28"/>
      <c r="G700" s="28"/>
      <c r="H700" s="322"/>
      <c r="I700" s="28"/>
      <c r="J700" s="28"/>
      <c r="K700" s="28"/>
      <c r="L700" s="28"/>
      <c r="M700" s="28"/>
      <c r="N700" s="254"/>
    </row>
    <row r="701" spans="1:14">
      <c r="A701" s="253"/>
      <c r="B701" s="28"/>
      <c r="C701" s="28"/>
      <c r="D701" s="28"/>
      <c r="E701" s="28"/>
      <c r="F701" s="28"/>
      <c r="G701" s="28"/>
      <c r="H701" s="322"/>
      <c r="I701" s="28"/>
      <c r="J701" s="28"/>
      <c r="K701" s="28"/>
      <c r="L701" s="28"/>
      <c r="M701" s="28"/>
      <c r="N701" s="254"/>
    </row>
    <row r="702" spans="1:14">
      <c r="A702" s="253"/>
      <c r="B702" s="28"/>
      <c r="C702" s="28"/>
      <c r="D702" s="28"/>
      <c r="E702" s="28"/>
      <c r="F702" s="28"/>
      <c r="G702" s="28"/>
      <c r="H702" s="322"/>
      <c r="I702" s="28"/>
      <c r="J702" s="28"/>
      <c r="K702" s="28"/>
      <c r="L702" s="28"/>
      <c r="M702" s="28"/>
      <c r="N702" s="254"/>
    </row>
    <row r="703" spans="1:14">
      <c r="A703" s="253"/>
      <c r="B703" s="28"/>
      <c r="C703" s="28"/>
      <c r="D703" s="28"/>
      <c r="E703" s="28"/>
      <c r="F703" s="28"/>
      <c r="G703" s="28"/>
      <c r="H703" s="322"/>
      <c r="I703" s="28"/>
      <c r="J703" s="28"/>
      <c r="K703" s="28"/>
      <c r="L703" s="28"/>
      <c r="M703" s="28"/>
      <c r="N703" s="254"/>
    </row>
    <row r="704" spans="1:14">
      <c r="A704" s="253"/>
      <c r="B704" s="28"/>
      <c r="C704" s="28"/>
      <c r="D704" s="28"/>
      <c r="E704" s="28"/>
      <c r="F704" s="28"/>
      <c r="G704" s="28"/>
      <c r="H704" s="322"/>
      <c r="I704" s="28"/>
      <c r="J704" s="28"/>
      <c r="K704" s="28"/>
      <c r="L704" s="28"/>
      <c r="M704" s="28"/>
      <c r="N704" s="254"/>
    </row>
    <row r="705" spans="1:14">
      <c r="A705" s="253"/>
      <c r="B705" s="28"/>
      <c r="C705" s="28"/>
      <c r="D705" s="28"/>
      <c r="E705" s="28"/>
      <c r="F705" s="28"/>
      <c r="G705" s="28"/>
      <c r="H705" s="322"/>
      <c r="I705" s="28"/>
      <c r="J705" s="28"/>
      <c r="K705" s="28"/>
      <c r="L705" s="28"/>
      <c r="M705" s="28"/>
      <c r="N705" s="254"/>
    </row>
    <row r="706" spans="1:14">
      <c r="A706" s="253"/>
      <c r="B706" s="28"/>
      <c r="C706" s="28"/>
      <c r="D706" s="28"/>
      <c r="E706" s="28"/>
      <c r="F706" s="28"/>
      <c r="G706" s="28"/>
      <c r="H706" s="322"/>
      <c r="I706" s="28"/>
      <c r="J706" s="28"/>
      <c r="K706" s="28"/>
      <c r="L706" s="28"/>
      <c r="M706" s="28"/>
      <c r="N706" s="254"/>
    </row>
    <row r="707" spans="1:14">
      <c r="A707" s="253"/>
      <c r="B707" s="28"/>
      <c r="C707" s="28"/>
      <c r="D707" s="28"/>
      <c r="E707" s="28"/>
      <c r="F707" s="28"/>
      <c r="G707" s="28"/>
      <c r="H707" s="322"/>
      <c r="I707" s="28"/>
      <c r="J707" s="28"/>
      <c r="K707" s="28"/>
      <c r="L707" s="28"/>
      <c r="M707" s="28"/>
      <c r="N707" s="254"/>
    </row>
    <row r="708" spans="1:14">
      <c r="A708" s="253"/>
      <c r="B708" s="28"/>
      <c r="C708" s="28"/>
      <c r="D708" s="28"/>
      <c r="E708" s="28"/>
      <c r="F708" s="28"/>
      <c r="G708" s="28"/>
      <c r="H708" s="322"/>
      <c r="I708" s="28"/>
      <c r="J708" s="28"/>
      <c r="K708" s="28"/>
      <c r="L708" s="28"/>
      <c r="M708" s="28"/>
      <c r="N708" s="254"/>
    </row>
    <row r="709" spans="1:14">
      <c r="A709" s="253"/>
      <c r="B709" s="28"/>
      <c r="C709" s="28"/>
      <c r="D709" s="28"/>
      <c r="E709" s="28"/>
      <c r="F709" s="28"/>
      <c r="G709" s="28"/>
      <c r="H709" s="322"/>
      <c r="I709" s="28"/>
      <c r="J709" s="28"/>
      <c r="K709" s="28"/>
      <c r="L709" s="28"/>
      <c r="M709" s="28"/>
      <c r="N709" s="254"/>
    </row>
    <row r="710" spans="1:14">
      <c r="A710" s="253"/>
      <c r="B710" s="28"/>
      <c r="C710" s="28"/>
      <c r="D710" s="28"/>
      <c r="E710" s="28"/>
      <c r="F710" s="28"/>
      <c r="G710" s="28"/>
      <c r="H710" s="322"/>
      <c r="I710" s="28"/>
      <c r="J710" s="28"/>
      <c r="K710" s="28"/>
      <c r="L710" s="28"/>
      <c r="M710" s="28"/>
      <c r="N710" s="254"/>
    </row>
    <row r="711" spans="1:14">
      <c r="A711" s="253"/>
      <c r="B711" s="28"/>
      <c r="C711" s="28"/>
      <c r="D711" s="28"/>
      <c r="E711" s="28"/>
      <c r="F711" s="28"/>
      <c r="G711" s="28"/>
      <c r="H711" s="322"/>
      <c r="I711" s="28"/>
      <c r="J711" s="28"/>
      <c r="K711" s="28"/>
      <c r="L711" s="28"/>
      <c r="M711" s="28"/>
      <c r="N711" s="254"/>
    </row>
    <row r="712" spans="1:14">
      <c r="A712" s="253"/>
      <c r="B712" s="28"/>
      <c r="C712" s="28"/>
      <c r="D712" s="28"/>
      <c r="E712" s="28"/>
      <c r="F712" s="28"/>
      <c r="G712" s="28"/>
      <c r="H712" s="322"/>
      <c r="I712" s="28"/>
      <c r="J712" s="28"/>
      <c r="K712" s="28"/>
      <c r="L712" s="28"/>
      <c r="M712" s="28"/>
      <c r="N712" s="254"/>
    </row>
    <row r="713" spans="1:14">
      <c r="A713" s="253"/>
      <c r="B713" s="28"/>
      <c r="C713" s="28"/>
      <c r="D713" s="28"/>
      <c r="E713" s="28"/>
      <c r="F713" s="28"/>
      <c r="G713" s="28"/>
      <c r="H713" s="322"/>
      <c r="I713" s="28"/>
      <c r="J713" s="28"/>
      <c r="K713" s="28"/>
      <c r="L713" s="28"/>
      <c r="M713" s="28"/>
      <c r="N713" s="254"/>
    </row>
    <row r="714" spans="1:14">
      <c r="A714" s="253"/>
      <c r="B714" s="28"/>
      <c r="C714" s="28"/>
      <c r="D714" s="28"/>
      <c r="E714" s="28"/>
      <c r="F714" s="28"/>
      <c r="G714" s="28"/>
      <c r="H714" s="322"/>
      <c r="I714" s="28"/>
      <c r="J714" s="28"/>
      <c r="K714" s="28"/>
      <c r="L714" s="28"/>
      <c r="M714" s="28"/>
      <c r="N714" s="254"/>
    </row>
    <row r="715" spans="1:14">
      <c r="A715" s="253"/>
      <c r="B715" s="28"/>
      <c r="C715" s="28"/>
      <c r="D715" s="28"/>
      <c r="E715" s="28"/>
      <c r="F715" s="28"/>
      <c r="G715" s="28"/>
      <c r="H715" s="322"/>
      <c r="I715" s="28"/>
      <c r="J715" s="28"/>
      <c r="K715" s="28"/>
      <c r="L715" s="28"/>
      <c r="M715" s="28"/>
      <c r="N715" s="254"/>
    </row>
    <row r="716" spans="1:14">
      <c r="A716" s="253"/>
      <c r="B716" s="28"/>
      <c r="C716" s="28"/>
      <c r="D716" s="28"/>
      <c r="E716" s="28"/>
      <c r="F716" s="28"/>
      <c r="G716" s="28"/>
      <c r="H716" s="322"/>
      <c r="I716" s="28"/>
      <c r="J716" s="28"/>
      <c r="K716" s="28"/>
      <c r="L716" s="28"/>
      <c r="M716" s="28"/>
      <c r="N716" s="254"/>
    </row>
    <row r="717" spans="1:14">
      <c r="A717" s="253"/>
      <c r="B717" s="28"/>
      <c r="C717" s="28"/>
      <c r="D717" s="28"/>
      <c r="E717" s="28"/>
      <c r="F717" s="28"/>
      <c r="G717" s="28"/>
      <c r="H717" s="322"/>
      <c r="I717" s="28"/>
      <c r="J717" s="28"/>
      <c r="K717" s="28"/>
      <c r="L717" s="28"/>
      <c r="M717" s="28"/>
      <c r="N717" s="254"/>
    </row>
    <row r="718" spans="1:14">
      <c r="A718" s="253"/>
      <c r="B718" s="28"/>
      <c r="C718" s="28"/>
      <c r="D718" s="28"/>
      <c r="E718" s="28"/>
      <c r="F718" s="28"/>
      <c r="G718" s="28"/>
      <c r="H718" s="322"/>
      <c r="I718" s="28"/>
      <c r="J718" s="28"/>
      <c r="K718" s="28"/>
      <c r="L718" s="28"/>
      <c r="M718" s="28"/>
      <c r="N718" s="254"/>
    </row>
    <row r="719" spans="1:14">
      <c r="A719" s="253"/>
      <c r="B719" s="28"/>
      <c r="C719" s="28"/>
      <c r="D719" s="28"/>
      <c r="E719" s="28"/>
      <c r="F719" s="28"/>
      <c r="G719" s="28"/>
      <c r="H719" s="322"/>
      <c r="I719" s="28"/>
      <c r="J719" s="28"/>
      <c r="K719" s="28"/>
      <c r="L719" s="28"/>
      <c r="M719" s="28"/>
      <c r="N719" s="254"/>
    </row>
    <row r="720" spans="1:14">
      <c r="A720" s="253"/>
      <c r="B720" s="28"/>
      <c r="C720" s="28"/>
      <c r="D720" s="28"/>
      <c r="E720" s="28"/>
      <c r="F720" s="28"/>
      <c r="G720" s="28"/>
      <c r="H720" s="322"/>
      <c r="I720" s="28"/>
      <c r="J720" s="28"/>
      <c r="K720" s="28"/>
      <c r="L720" s="28"/>
      <c r="M720" s="28"/>
      <c r="N720" s="254"/>
    </row>
    <row r="721" spans="1:14">
      <c r="A721" s="253"/>
      <c r="B721" s="28"/>
      <c r="C721" s="28"/>
      <c r="D721" s="28"/>
      <c r="E721" s="28"/>
      <c r="F721" s="28"/>
      <c r="G721" s="28"/>
      <c r="H721" s="322"/>
      <c r="I721" s="28"/>
      <c r="J721" s="28"/>
      <c r="K721" s="28"/>
      <c r="L721" s="28"/>
      <c r="M721" s="28"/>
      <c r="N721" s="254"/>
    </row>
    <row r="722" spans="1:14">
      <c r="A722" s="253"/>
      <c r="B722" s="28"/>
      <c r="C722" s="28"/>
      <c r="D722" s="28"/>
      <c r="E722" s="28"/>
      <c r="F722" s="28"/>
      <c r="G722" s="28"/>
      <c r="H722" s="322"/>
      <c r="I722" s="28"/>
      <c r="J722" s="28"/>
      <c r="K722" s="28"/>
      <c r="L722" s="28"/>
      <c r="M722" s="28"/>
      <c r="N722" s="254"/>
    </row>
    <row r="723" spans="1:14">
      <c r="A723" s="253"/>
      <c r="B723" s="28"/>
      <c r="C723" s="28"/>
      <c r="D723" s="28"/>
      <c r="E723" s="28"/>
      <c r="F723" s="28"/>
      <c r="G723" s="28"/>
      <c r="H723" s="322"/>
      <c r="I723" s="28"/>
      <c r="J723" s="28"/>
      <c r="K723" s="28"/>
      <c r="L723" s="28"/>
      <c r="M723" s="28"/>
      <c r="N723" s="254"/>
    </row>
    <row r="724" spans="1:14">
      <c r="A724" s="253"/>
      <c r="B724" s="28"/>
      <c r="C724" s="28"/>
      <c r="D724" s="28"/>
      <c r="E724" s="28"/>
      <c r="F724" s="28"/>
      <c r="G724" s="28"/>
      <c r="H724" s="322"/>
      <c r="I724" s="28"/>
      <c r="J724" s="28"/>
      <c r="K724" s="28"/>
      <c r="L724" s="28"/>
      <c r="M724" s="28"/>
      <c r="N724" s="254"/>
    </row>
    <row r="725" spans="1:14">
      <c r="A725" s="253"/>
      <c r="B725" s="28"/>
      <c r="C725" s="28"/>
      <c r="D725" s="28"/>
      <c r="E725" s="28"/>
      <c r="F725" s="28"/>
      <c r="G725" s="28"/>
      <c r="H725" s="322"/>
      <c r="I725" s="28"/>
      <c r="J725" s="28"/>
      <c r="K725" s="28"/>
      <c r="L725" s="28"/>
      <c r="M725" s="28"/>
      <c r="N725" s="254"/>
    </row>
    <row r="726" spans="1:14">
      <c r="A726" s="253"/>
      <c r="B726" s="28"/>
      <c r="C726" s="28"/>
      <c r="D726" s="28"/>
      <c r="E726" s="28"/>
      <c r="F726" s="28"/>
      <c r="G726" s="28"/>
      <c r="H726" s="322"/>
      <c r="I726" s="28"/>
      <c r="J726" s="28"/>
      <c r="K726" s="28"/>
      <c r="L726" s="28"/>
      <c r="M726" s="28"/>
      <c r="N726" s="254"/>
    </row>
    <row r="727" spans="1:14">
      <c r="A727" s="253"/>
      <c r="B727" s="28"/>
      <c r="C727" s="28"/>
      <c r="D727" s="28"/>
      <c r="E727" s="28"/>
      <c r="F727" s="28"/>
      <c r="G727" s="28"/>
      <c r="H727" s="322"/>
      <c r="I727" s="28"/>
      <c r="J727" s="28"/>
      <c r="K727" s="28"/>
      <c r="L727" s="28"/>
      <c r="M727" s="28"/>
      <c r="N727" s="254"/>
    </row>
    <row r="728" spans="1:14">
      <c r="A728" s="253"/>
      <c r="B728" s="28"/>
      <c r="C728" s="28"/>
      <c r="D728" s="28"/>
      <c r="E728" s="28"/>
      <c r="F728" s="28"/>
      <c r="G728" s="28"/>
      <c r="H728" s="322"/>
      <c r="I728" s="28"/>
      <c r="J728" s="28"/>
      <c r="K728" s="28"/>
      <c r="L728" s="28"/>
      <c r="M728" s="28"/>
      <c r="N728" s="254"/>
    </row>
    <row r="729" spans="1:14">
      <c r="A729" s="253"/>
      <c r="B729" s="28"/>
      <c r="C729" s="28"/>
      <c r="D729" s="28"/>
      <c r="E729" s="28"/>
      <c r="F729" s="28"/>
      <c r="G729" s="28"/>
      <c r="H729" s="322"/>
      <c r="I729" s="28"/>
      <c r="J729" s="28"/>
      <c r="K729" s="28"/>
      <c r="L729" s="28"/>
      <c r="M729" s="28"/>
      <c r="N729" s="254"/>
    </row>
    <row r="730" spans="1:14">
      <c r="A730" s="253"/>
      <c r="B730" s="28"/>
      <c r="C730" s="28"/>
      <c r="D730" s="28"/>
      <c r="E730" s="28"/>
      <c r="F730" s="28"/>
      <c r="G730" s="28"/>
      <c r="H730" s="322"/>
      <c r="I730" s="28"/>
      <c r="J730" s="28"/>
      <c r="K730" s="28"/>
      <c r="L730" s="28"/>
      <c r="M730" s="28"/>
      <c r="N730" s="254"/>
    </row>
    <row r="731" spans="1:14">
      <c r="A731" s="253"/>
      <c r="B731" s="28"/>
      <c r="C731" s="28"/>
      <c r="D731" s="28"/>
      <c r="E731" s="28"/>
      <c r="F731" s="28"/>
      <c r="G731" s="28"/>
      <c r="H731" s="322"/>
      <c r="I731" s="28"/>
      <c r="J731" s="28"/>
      <c r="K731" s="28"/>
      <c r="L731" s="28"/>
      <c r="M731" s="28"/>
      <c r="N731" s="254"/>
    </row>
    <row r="732" spans="1:14">
      <c r="A732" s="253"/>
      <c r="B732" s="28"/>
      <c r="C732" s="28"/>
      <c r="D732" s="28"/>
      <c r="E732" s="28"/>
      <c r="F732" s="28"/>
      <c r="G732" s="28"/>
      <c r="H732" s="322"/>
      <c r="I732" s="28"/>
      <c r="J732" s="28"/>
      <c r="K732" s="28"/>
      <c r="L732" s="28"/>
      <c r="M732" s="28"/>
      <c r="N732" s="254"/>
    </row>
    <row r="733" spans="1:14">
      <c r="A733" s="253"/>
      <c r="B733" s="28"/>
      <c r="C733" s="28"/>
      <c r="D733" s="28"/>
      <c r="E733" s="28"/>
      <c r="F733" s="28"/>
      <c r="G733" s="28"/>
      <c r="H733" s="322"/>
      <c r="I733" s="28"/>
      <c r="J733" s="28"/>
      <c r="K733" s="28"/>
      <c r="L733" s="28"/>
      <c r="M733" s="28"/>
      <c r="N733" s="254"/>
    </row>
    <row r="734" spans="1:14">
      <c r="A734" s="253"/>
      <c r="B734" s="28"/>
      <c r="C734" s="28"/>
      <c r="D734" s="28"/>
      <c r="E734" s="28"/>
      <c r="F734" s="28"/>
      <c r="G734" s="28"/>
      <c r="H734" s="322"/>
      <c r="I734" s="28"/>
      <c r="J734" s="28"/>
      <c r="K734" s="28"/>
      <c r="L734" s="28"/>
      <c r="M734" s="28"/>
      <c r="N734" s="254"/>
    </row>
    <row r="735" spans="1:14">
      <c r="A735" s="253"/>
      <c r="B735" s="28"/>
      <c r="C735" s="28"/>
      <c r="D735" s="28"/>
      <c r="E735" s="28"/>
      <c r="F735" s="28"/>
      <c r="G735" s="28"/>
      <c r="H735" s="322"/>
      <c r="I735" s="28"/>
      <c r="J735" s="28"/>
      <c r="K735" s="28"/>
      <c r="L735" s="28"/>
      <c r="M735" s="28"/>
      <c r="N735" s="254"/>
    </row>
    <row r="736" spans="1:14">
      <c r="A736" s="253"/>
      <c r="B736" s="28"/>
      <c r="C736" s="28"/>
      <c r="D736" s="28"/>
      <c r="E736" s="28"/>
      <c r="F736" s="28"/>
      <c r="G736" s="28"/>
      <c r="H736" s="322"/>
      <c r="I736" s="28"/>
      <c r="J736" s="28"/>
      <c r="K736" s="28"/>
      <c r="L736" s="28"/>
      <c r="M736" s="28"/>
      <c r="N736" s="254"/>
    </row>
    <row r="737" spans="1:14">
      <c r="A737" s="253"/>
      <c r="B737" s="28"/>
      <c r="C737" s="28"/>
      <c r="D737" s="28"/>
      <c r="E737" s="28"/>
      <c r="F737" s="28"/>
      <c r="G737" s="28"/>
      <c r="H737" s="322"/>
      <c r="I737" s="28"/>
      <c r="J737" s="28"/>
      <c r="K737" s="28"/>
      <c r="L737" s="28"/>
      <c r="M737" s="28"/>
      <c r="N737" s="254"/>
    </row>
    <row r="738" spans="1:14">
      <c r="A738" s="253"/>
      <c r="B738" s="28"/>
      <c r="C738" s="28"/>
      <c r="D738" s="28"/>
      <c r="E738" s="28"/>
      <c r="F738" s="28"/>
      <c r="G738" s="28"/>
      <c r="H738" s="322"/>
      <c r="I738" s="28"/>
      <c r="J738" s="28"/>
      <c r="K738" s="28"/>
      <c r="L738" s="28"/>
      <c r="M738" s="28"/>
      <c r="N738" s="254"/>
    </row>
    <row r="739" spans="1:14">
      <c r="A739" s="253"/>
      <c r="B739" s="28"/>
      <c r="C739" s="28"/>
      <c r="D739" s="28"/>
      <c r="E739" s="28"/>
      <c r="F739" s="28"/>
      <c r="G739" s="28"/>
      <c r="H739" s="322"/>
      <c r="I739" s="28"/>
      <c r="J739" s="28"/>
      <c r="K739" s="28"/>
      <c r="L739" s="28"/>
      <c r="M739" s="28"/>
      <c r="N739" s="254"/>
    </row>
    <row r="740" spans="1:14">
      <c r="A740" s="255"/>
      <c r="B740" s="256"/>
      <c r="C740" s="256"/>
      <c r="D740" s="256"/>
      <c r="E740" s="256"/>
      <c r="F740" s="256"/>
      <c r="G740" s="256"/>
      <c r="H740" s="323"/>
      <c r="I740" s="256"/>
      <c r="J740" s="256"/>
      <c r="K740" s="256"/>
      <c r="L740" s="256"/>
      <c r="M740" s="256"/>
      <c r="N740" s="257"/>
    </row>
    <row r="741" spans="1:14" ht="30" customHeight="1">
      <c r="A741" s="258" t="s">
        <v>1148</v>
      </c>
      <c r="B741" s="946" t="s">
        <v>51</v>
      </c>
      <c r="C741" s="946"/>
      <c r="D741" s="946"/>
      <c r="E741" s="946"/>
      <c r="F741" s="946"/>
      <c r="G741" s="946"/>
      <c r="H741" s="946"/>
      <c r="I741" s="946"/>
      <c r="J741" s="946"/>
      <c r="K741" s="946"/>
      <c r="L741" s="946"/>
      <c r="M741" s="259"/>
      <c r="N741" s="260" t="s">
        <v>1149</v>
      </c>
    </row>
    <row r="742" spans="1:14">
      <c r="A742" s="253"/>
      <c r="B742" s="28"/>
      <c r="C742" s="28"/>
      <c r="D742" s="28"/>
      <c r="E742" s="28"/>
      <c r="F742" s="28"/>
      <c r="G742" s="28"/>
      <c r="H742" s="322"/>
      <c r="I742" s="28"/>
      <c r="J742" s="28"/>
      <c r="K742" s="28"/>
      <c r="L742" s="28"/>
      <c r="M742" s="28"/>
      <c r="N742" s="254"/>
    </row>
    <row r="743" spans="1:14" ht="16.2" customHeight="1">
      <c r="A743" s="253"/>
      <c r="B743" s="988" t="s">
        <v>1223</v>
      </c>
      <c r="C743" s="988"/>
      <c r="D743" s="988"/>
      <c r="E743" s="988"/>
      <c r="F743" s="988"/>
      <c r="G743" s="988"/>
      <c r="H743" s="988"/>
      <c r="I743" s="988"/>
      <c r="J743" s="988"/>
      <c r="K743" s="988"/>
      <c r="L743" s="988"/>
      <c r="M743" s="988"/>
      <c r="N743" s="254"/>
    </row>
    <row r="744" spans="1:14" ht="16.2" customHeight="1">
      <c r="A744" s="253"/>
      <c r="B744" s="988"/>
      <c r="C744" s="988"/>
      <c r="D744" s="988"/>
      <c r="E744" s="988"/>
      <c r="F744" s="988"/>
      <c r="G744" s="988"/>
      <c r="H744" s="988"/>
      <c r="I744" s="988"/>
      <c r="J744" s="988"/>
      <c r="K744" s="988"/>
      <c r="L744" s="988"/>
      <c r="M744" s="988"/>
      <c r="N744" s="254"/>
    </row>
    <row r="745" spans="1:14" ht="16.2" customHeight="1">
      <c r="A745" s="253"/>
      <c r="B745" s="988"/>
      <c r="C745" s="988"/>
      <c r="D745" s="988"/>
      <c r="E745" s="988"/>
      <c r="F745" s="988"/>
      <c r="G745" s="988"/>
      <c r="H745" s="988"/>
      <c r="I745" s="988"/>
      <c r="J745" s="988"/>
      <c r="K745" s="988"/>
      <c r="L745" s="988"/>
      <c r="M745" s="988"/>
      <c r="N745" s="254"/>
    </row>
    <row r="746" spans="1:14" ht="10.199999999999999" customHeight="1" thickBot="1">
      <c r="A746" s="253"/>
      <c r="B746" s="28"/>
      <c r="C746" s="28"/>
      <c r="D746" s="28"/>
      <c r="E746" s="28"/>
      <c r="F746" s="28"/>
      <c r="G746" s="28"/>
      <c r="H746" s="322"/>
      <c r="I746" s="28"/>
      <c r="J746" s="28"/>
      <c r="K746" s="28"/>
      <c r="L746" s="28"/>
      <c r="M746" s="28"/>
      <c r="N746" s="254"/>
    </row>
    <row r="747" spans="1:14" ht="19.95" customHeight="1">
      <c r="A747" s="253"/>
      <c r="B747" s="999" t="str">
        <f>IF(AND($E$759=$BD$757,$BB$772&gt;0.99),1,"")</f>
        <v/>
      </c>
      <c r="C747" s="1000"/>
      <c r="D747" s="28"/>
      <c r="E747" s="1001" t="str">
        <f>IF(AND($E$759=$BD$758,$BB$772&gt;0.99),1,"")</f>
        <v/>
      </c>
      <c r="F747" s="1002"/>
      <c r="G747" s="28"/>
      <c r="H747" s="322"/>
      <c r="I747" s="999" t="str">
        <f>IF(AND($L$759=$BD$757,$BD$772&gt;0.99),1,"")</f>
        <v/>
      </c>
      <c r="J747" s="1000"/>
      <c r="K747" s="28"/>
      <c r="L747" s="1001" t="str">
        <f>IF(AND($L$759=$BD$758,$BD$772&gt;0.99),1,"")</f>
        <v/>
      </c>
      <c r="M747" s="1002"/>
      <c r="N747" s="254"/>
    </row>
    <row r="748" spans="1:14" ht="19.95" customHeight="1">
      <c r="A748" s="253"/>
      <c r="B748" s="947" t="str">
        <f>IF(AND($E$759=$BD$757,$BB$772&gt;0.8),0.9,"")</f>
        <v/>
      </c>
      <c r="C748" s="948"/>
      <c r="D748" s="28"/>
      <c r="E748" s="959" t="str">
        <f>IF(AND($E$759=$BD$758,$BB$772&gt;0.8),0.9,"")</f>
        <v/>
      </c>
      <c r="F748" s="960"/>
      <c r="G748" s="28"/>
      <c r="H748" s="322"/>
      <c r="I748" s="947" t="str">
        <f>IF(AND($L$759=$BD$757,$BD$772&gt;0.8),0.9,"")</f>
        <v/>
      </c>
      <c r="J748" s="948"/>
      <c r="K748" s="28"/>
      <c r="L748" s="959" t="str">
        <f>IF(AND($L$759=$BD$758,$BD$772&gt;0.8),0.9,"")</f>
        <v/>
      </c>
      <c r="M748" s="960"/>
      <c r="N748" s="254"/>
    </row>
    <row r="749" spans="1:14" ht="19.95" customHeight="1">
      <c r="A749" s="253"/>
      <c r="B749" s="947" t="str">
        <f>IF(AND($E$759=$BD$757,$BB$772&gt;0.7),0.8,"")</f>
        <v/>
      </c>
      <c r="C749" s="948"/>
      <c r="D749" s="28"/>
      <c r="E749" s="959" t="str">
        <f>IF(AND($E$759=$BD$758,$BB$772&gt;0.7),0.8,"")</f>
        <v/>
      </c>
      <c r="F749" s="960"/>
      <c r="G749" s="28"/>
      <c r="H749" s="322"/>
      <c r="I749" s="947" t="str">
        <f>IF(AND($L$759=$BD$757,$BD$772&gt;0.7),0.8,"")</f>
        <v/>
      </c>
      <c r="J749" s="948"/>
      <c r="K749" s="28"/>
      <c r="L749" s="959" t="str">
        <f>IF(AND($L$759=$BD$758,$BD$772&gt;0.7),0.8,"")</f>
        <v/>
      </c>
      <c r="M749" s="960"/>
      <c r="N749" s="254"/>
    </row>
    <row r="750" spans="1:14" ht="19.95" customHeight="1">
      <c r="A750" s="253"/>
      <c r="B750" s="947" t="str">
        <f>IF(AND($E$759=$BD$757,$BB$772&gt;0.6),0.7,"")</f>
        <v/>
      </c>
      <c r="C750" s="948"/>
      <c r="D750" s="28"/>
      <c r="E750" s="959" t="str">
        <f>IF(AND($E$759=$BD$758,$BB$772&gt;0.6),0.7,"")</f>
        <v/>
      </c>
      <c r="F750" s="960"/>
      <c r="G750" s="28"/>
      <c r="H750" s="322"/>
      <c r="I750" s="947" t="str">
        <f>IF(AND($L$759=$BD$757,$BD$772&gt;0.6),0.7,"")</f>
        <v/>
      </c>
      <c r="J750" s="948"/>
      <c r="K750" s="28"/>
      <c r="L750" s="959" t="str">
        <f>IF(AND($L$759=$BD$758,$BD$772&gt;0.6),0.7,"")</f>
        <v/>
      </c>
      <c r="M750" s="960"/>
      <c r="N750" s="254"/>
    </row>
    <row r="751" spans="1:14" ht="19.95" customHeight="1">
      <c r="A751" s="253"/>
      <c r="B751" s="947" t="str">
        <f>IF(AND($E$759=$BD$757,$BB$772&gt;0.5),0.6,"")</f>
        <v/>
      </c>
      <c r="C751" s="948"/>
      <c r="D751" s="28"/>
      <c r="E751" s="959" t="str">
        <f>IF(AND($E$759=$BD$758,$BB$772&gt;0.5),0.6,"")</f>
        <v/>
      </c>
      <c r="F751" s="960"/>
      <c r="G751" s="28"/>
      <c r="H751" s="322"/>
      <c r="I751" s="947" t="str">
        <f>IF(AND($L$759=$BD$757,$BD$772&gt;0.5),0.6,"")</f>
        <v/>
      </c>
      <c r="J751" s="948"/>
      <c r="K751" s="28"/>
      <c r="L751" s="959" t="str">
        <f>IF(AND($L$759=$BD$758,$BD$772&gt;0.5),0.6,"")</f>
        <v/>
      </c>
      <c r="M751" s="960"/>
      <c r="N751" s="254"/>
    </row>
    <row r="752" spans="1:14" ht="19.95" customHeight="1">
      <c r="A752" s="253"/>
      <c r="B752" s="947" t="str">
        <f>IF(AND($E$759=$BD$757,$BB$772&gt;0.4),0.5,"")</f>
        <v/>
      </c>
      <c r="C752" s="948"/>
      <c r="D752" s="28"/>
      <c r="E752" s="959" t="str">
        <f>IF(AND($E$759=$BD$758,$BB$772&gt;0.4),0.5,"")</f>
        <v/>
      </c>
      <c r="F752" s="960"/>
      <c r="G752" s="28"/>
      <c r="H752" s="322"/>
      <c r="I752" s="947" t="str">
        <f>IF(AND($L$759=$BD$757,$BD$772&gt;0.4),0.5,"")</f>
        <v/>
      </c>
      <c r="J752" s="948"/>
      <c r="K752" s="28"/>
      <c r="L752" s="959" t="str">
        <f>IF(AND($L$759=$BD$758,$BD$772&gt;0.4),0.5,"")</f>
        <v/>
      </c>
      <c r="M752" s="960"/>
      <c r="N752" s="254"/>
    </row>
    <row r="753" spans="1:56" ht="19.95" customHeight="1">
      <c r="A753" s="253"/>
      <c r="B753" s="947" t="str">
        <f>IF(AND($E$759=$BD$757,$BB$772&gt;0.3),0.4,"")</f>
        <v/>
      </c>
      <c r="C753" s="948"/>
      <c r="D753" s="28"/>
      <c r="E753" s="959" t="str">
        <f>IF(AND($E$759=$BD$758,$BB$772&gt;0.3),0.4,"")</f>
        <v/>
      </c>
      <c r="F753" s="960"/>
      <c r="G753" s="28"/>
      <c r="H753" s="322"/>
      <c r="I753" s="947" t="str">
        <f>IF(AND($L$759=$BD$757,$BD$772&gt;0.3),0.4,"")</f>
        <v/>
      </c>
      <c r="J753" s="948"/>
      <c r="K753" s="28"/>
      <c r="L753" s="959" t="str">
        <f>IF(AND($L$759=$BD$758,$BD$772&gt;0.3),0.4,"")</f>
        <v/>
      </c>
      <c r="M753" s="960"/>
      <c r="N753" s="254"/>
    </row>
    <row r="754" spans="1:56" ht="19.95" customHeight="1">
      <c r="A754" s="253"/>
      <c r="B754" s="947" t="str">
        <f>IF(AND($E$759=$BD$757,$BB$772&gt;0.2),0.3,"")</f>
        <v/>
      </c>
      <c r="C754" s="948"/>
      <c r="D754" s="28"/>
      <c r="E754" s="959" t="str">
        <f>IF(AND($E$759=$BD$758,$BB$772&gt;0.2),0.3,"")</f>
        <v/>
      </c>
      <c r="F754" s="960"/>
      <c r="G754" s="28"/>
      <c r="H754" s="322"/>
      <c r="I754" s="947" t="str">
        <f>IF(AND($L$759=$BD$757,$BD$772&gt;0.2),0.3,"")</f>
        <v/>
      </c>
      <c r="J754" s="948"/>
      <c r="K754" s="28"/>
      <c r="L754" s="959" t="str">
        <f>IF(AND($L$759=$BD$758,$BD$772&gt;0.2),0.3,"")</f>
        <v/>
      </c>
      <c r="M754" s="960"/>
      <c r="N754" s="254"/>
    </row>
    <row r="755" spans="1:56" ht="19.95" customHeight="1">
      <c r="A755" s="253"/>
      <c r="B755" s="947" t="str">
        <f>IF(AND($E$759=$BD$757,$BB$772&gt;0.1),0.2,"")</f>
        <v/>
      </c>
      <c r="C755" s="948"/>
      <c r="D755" s="28"/>
      <c r="E755" s="959" t="str">
        <f>IF(AND($E$759=$BD$758,$BB$772&gt;0.1),0.2,"")</f>
        <v/>
      </c>
      <c r="F755" s="960"/>
      <c r="G755" s="28"/>
      <c r="H755" s="322"/>
      <c r="I755" s="947" t="str">
        <f>IF(AND($L$759=$BD$757,$BD$772&gt;0.1),0.2,"")</f>
        <v/>
      </c>
      <c r="J755" s="948"/>
      <c r="K755" s="28"/>
      <c r="L755" s="959" t="str">
        <f>IF(AND($L$759=$BD$758,$BD$772&gt;0.1),0.2,"")</f>
        <v/>
      </c>
      <c r="M755" s="960"/>
      <c r="N755" s="254"/>
    </row>
    <row r="756" spans="1:56" ht="19.95" customHeight="1" thickBot="1">
      <c r="A756" s="253"/>
      <c r="B756" s="970" t="str">
        <f>IF(AND($E$759=$BD$757,$BB$772&gt;0),0.1,"")</f>
        <v/>
      </c>
      <c r="C756" s="971"/>
      <c r="D756" s="28"/>
      <c r="E756" s="972" t="str">
        <f>IF(AND(E759=$BD$758,$BB$772&gt;0),0.1,"")</f>
        <v/>
      </c>
      <c r="F756" s="973"/>
      <c r="G756" s="28"/>
      <c r="H756" s="322"/>
      <c r="I756" s="970" t="str">
        <f>IF(AND($L$759=$BD$757,$BD$772&gt;0),0.1,"")</f>
        <v/>
      </c>
      <c r="J756" s="971"/>
      <c r="K756" s="28"/>
      <c r="L756" s="972" t="str">
        <f>IF(AND($L$759=$BD$758,$BD$772&gt;0),0.1,"")</f>
        <v/>
      </c>
      <c r="M756" s="973"/>
      <c r="N756" s="254"/>
    </row>
    <row r="757" spans="1:56" ht="12" customHeight="1">
      <c r="A757" s="253"/>
      <c r="B757" s="28"/>
      <c r="C757" s="28"/>
      <c r="D757" s="28"/>
      <c r="E757" s="28"/>
      <c r="F757" s="28"/>
      <c r="G757" s="28"/>
      <c r="H757" s="322"/>
      <c r="I757" s="28"/>
      <c r="J757" s="28"/>
      <c r="K757" s="28"/>
      <c r="L757" s="28"/>
      <c r="M757" s="28"/>
      <c r="N757" s="254"/>
      <c r="BB757" s="2" t="s">
        <v>43</v>
      </c>
      <c r="BD757" s="2" t="s">
        <v>49</v>
      </c>
    </row>
    <row r="758" spans="1:56" ht="19.95" customHeight="1">
      <c r="A758" s="253"/>
      <c r="B758" s="267" t="s">
        <v>62</v>
      </c>
      <c r="C758" s="28"/>
      <c r="D758" s="28"/>
      <c r="E758" s="28"/>
      <c r="F758" s="28"/>
      <c r="G758" s="28"/>
      <c r="H758" s="322"/>
      <c r="I758" s="267" t="s">
        <v>63</v>
      </c>
      <c r="J758" s="28"/>
      <c r="K758" s="28"/>
      <c r="L758" s="28"/>
      <c r="M758" s="28"/>
      <c r="N758" s="254"/>
      <c r="BB758" s="2" t="s">
        <v>44</v>
      </c>
      <c r="BD758" s="2" t="s">
        <v>50</v>
      </c>
    </row>
    <row r="759" spans="1:56" ht="19.95" customHeight="1">
      <c r="A759" s="253"/>
      <c r="B759" s="268" t="s">
        <v>42</v>
      </c>
      <c r="C759" s="28"/>
      <c r="D759" s="28"/>
      <c r="E759" s="964"/>
      <c r="F759" s="965"/>
      <c r="G759" s="28"/>
      <c r="H759" s="322"/>
      <c r="I759" s="268" t="s">
        <v>42</v>
      </c>
      <c r="J759" s="28"/>
      <c r="K759" s="28"/>
      <c r="L759" s="964"/>
      <c r="M759" s="965"/>
      <c r="N759" s="254"/>
    </row>
    <row r="760" spans="1:56" ht="10.199999999999999" customHeight="1">
      <c r="A760" s="253"/>
      <c r="B760" s="268"/>
      <c r="C760" s="28"/>
      <c r="D760" s="28"/>
      <c r="E760" s="28"/>
      <c r="F760" s="28"/>
      <c r="G760" s="28"/>
      <c r="H760" s="322"/>
      <c r="I760" s="268"/>
      <c r="J760" s="28"/>
      <c r="K760" s="28"/>
      <c r="L760" s="28"/>
      <c r="M760" s="28"/>
      <c r="N760" s="254"/>
      <c r="BB760" s="2">
        <f t="shared" ref="BB760:BB769" si="5">IF(F761=$BP$234,0.1,0)</f>
        <v>0</v>
      </c>
      <c r="BD760" s="2">
        <f t="shared" ref="BD760:BD769" si="6">IF(M761=$BP$234,0.1,0)</f>
        <v>0</v>
      </c>
    </row>
    <row r="761" spans="1:56" ht="19.95" customHeight="1">
      <c r="A761" s="253"/>
      <c r="B761" s="268" t="s">
        <v>38</v>
      </c>
      <c r="C761" s="28"/>
      <c r="D761" s="28"/>
      <c r="E761" s="28"/>
      <c r="F761" s="15"/>
      <c r="G761" s="28"/>
      <c r="H761" s="322"/>
      <c r="I761" s="268" t="s">
        <v>39</v>
      </c>
      <c r="J761" s="28"/>
      <c r="K761" s="28"/>
      <c r="L761" s="28"/>
      <c r="M761" s="15"/>
      <c r="N761" s="254"/>
      <c r="BB761" s="2">
        <f t="shared" si="5"/>
        <v>0</v>
      </c>
      <c r="BD761" s="2">
        <f t="shared" si="6"/>
        <v>0</v>
      </c>
    </row>
    <row r="762" spans="1:56" ht="19.95" customHeight="1">
      <c r="A762" s="253"/>
      <c r="B762" s="268" t="s">
        <v>69</v>
      </c>
      <c r="C762" s="28"/>
      <c r="D762" s="28"/>
      <c r="E762" s="28"/>
      <c r="F762" s="15"/>
      <c r="G762" s="28"/>
      <c r="H762" s="322"/>
      <c r="I762" s="268" t="s">
        <v>70</v>
      </c>
      <c r="J762" s="28"/>
      <c r="K762" s="28"/>
      <c r="L762" s="28"/>
      <c r="M762" s="15"/>
      <c r="N762" s="254"/>
      <c r="BB762" s="2">
        <f t="shared" si="5"/>
        <v>0</v>
      </c>
      <c r="BD762" s="2">
        <f t="shared" si="6"/>
        <v>0</v>
      </c>
    </row>
    <row r="763" spans="1:56" ht="19.95" customHeight="1">
      <c r="A763" s="253"/>
      <c r="B763" s="268" t="s">
        <v>72</v>
      </c>
      <c r="C763" s="28"/>
      <c r="D763" s="28"/>
      <c r="E763" s="28"/>
      <c r="F763" s="15"/>
      <c r="G763" s="28"/>
      <c r="H763" s="322"/>
      <c r="I763" s="268" t="s">
        <v>71</v>
      </c>
      <c r="J763" s="28"/>
      <c r="K763" s="28"/>
      <c r="L763" s="28"/>
      <c r="M763" s="15"/>
      <c r="N763" s="254"/>
      <c r="BB763" s="2">
        <f t="shared" si="5"/>
        <v>0</v>
      </c>
      <c r="BD763" s="2">
        <f t="shared" si="6"/>
        <v>0</v>
      </c>
    </row>
    <row r="764" spans="1:56" ht="19.95" customHeight="1">
      <c r="A764" s="253"/>
      <c r="B764" s="268" t="s">
        <v>52</v>
      </c>
      <c r="C764" s="28"/>
      <c r="D764" s="28"/>
      <c r="E764" s="28"/>
      <c r="F764" s="15"/>
      <c r="G764" s="28"/>
      <c r="H764" s="322"/>
      <c r="I764" s="268" t="s">
        <v>52</v>
      </c>
      <c r="J764" s="28"/>
      <c r="K764" s="28"/>
      <c r="L764" s="28"/>
      <c r="M764" s="15"/>
      <c r="N764" s="254"/>
      <c r="BB764" s="2">
        <f t="shared" si="5"/>
        <v>0</v>
      </c>
      <c r="BD764" s="2">
        <f t="shared" si="6"/>
        <v>0</v>
      </c>
    </row>
    <row r="765" spans="1:56" ht="19.95" customHeight="1">
      <c r="A765" s="253"/>
      <c r="B765" s="268" t="s">
        <v>45</v>
      </c>
      <c r="C765" s="28"/>
      <c r="D765" s="28"/>
      <c r="E765" s="28"/>
      <c r="F765" s="15"/>
      <c r="G765" s="28"/>
      <c r="H765" s="322"/>
      <c r="I765" s="268" t="s">
        <v>46</v>
      </c>
      <c r="J765" s="28"/>
      <c r="K765" s="28"/>
      <c r="L765" s="28"/>
      <c r="M765" s="15"/>
      <c r="N765" s="254"/>
      <c r="BB765" s="2">
        <f t="shared" si="5"/>
        <v>0</v>
      </c>
      <c r="BD765" s="2">
        <f t="shared" si="6"/>
        <v>0</v>
      </c>
    </row>
    <row r="766" spans="1:56" ht="19.95" customHeight="1">
      <c r="A766" s="253"/>
      <c r="B766" s="268" t="s">
        <v>40</v>
      </c>
      <c r="C766" s="28"/>
      <c r="D766" s="28"/>
      <c r="E766" s="28"/>
      <c r="F766" s="15"/>
      <c r="G766" s="28"/>
      <c r="H766" s="322"/>
      <c r="I766" s="268" t="s">
        <v>40</v>
      </c>
      <c r="J766" s="28"/>
      <c r="K766" s="28"/>
      <c r="L766" s="28"/>
      <c r="M766" s="15"/>
      <c r="N766" s="254"/>
      <c r="BB766" s="2">
        <f t="shared" si="5"/>
        <v>0</v>
      </c>
      <c r="BD766" s="2">
        <f t="shared" si="6"/>
        <v>0</v>
      </c>
    </row>
    <row r="767" spans="1:56" ht="19.95" customHeight="1">
      <c r="A767" s="253"/>
      <c r="B767" s="268" t="s">
        <v>432</v>
      </c>
      <c r="C767" s="28"/>
      <c r="D767" s="28"/>
      <c r="E767" s="28"/>
      <c r="F767" s="15"/>
      <c r="G767" s="28"/>
      <c r="H767" s="322"/>
      <c r="I767" s="268" t="s">
        <v>432</v>
      </c>
      <c r="J767" s="28"/>
      <c r="K767" s="28"/>
      <c r="L767" s="28"/>
      <c r="M767" s="15"/>
      <c r="N767" s="254"/>
      <c r="BB767" s="2">
        <f t="shared" si="5"/>
        <v>0</v>
      </c>
      <c r="BD767" s="2">
        <f t="shared" si="6"/>
        <v>0</v>
      </c>
    </row>
    <row r="768" spans="1:56" ht="19.95" customHeight="1">
      <c r="A768" s="253"/>
      <c r="B768" s="268" t="s">
        <v>47</v>
      </c>
      <c r="C768" s="28"/>
      <c r="D768" s="28"/>
      <c r="E768" s="28"/>
      <c r="F768" s="15"/>
      <c r="G768" s="28"/>
      <c r="H768" s="322"/>
      <c r="I768" s="268" t="s">
        <v>47</v>
      </c>
      <c r="J768" s="28"/>
      <c r="K768" s="28"/>
      <c r="L768" s="28"/>
      <c r="M768" s="15"/>
      <c r="N768" s="254"/>
      <c r="BB768" s="2">
        <f t="shared" si="5"/>
        <v>0</v>
      </c>
      <c r="BD768" s="2">
        <f t="shared" si="6"/>
        <v>0</v>
      </c>
    </row>
    <row r="769" spans="1:57" ht="19.95" customHeight="1">
      <c r="A769" s="253"/>
      <c r="B769" s="268" t="s">
        <v>41</v>
      </c>
      <c r="C769" s="28"/>
      <c r="D769" s="28"/>
      <c r="E769" s="28"/>
      <c r="F769" s="15"/>
      <c r="G769" s="28"/>
      <c r="H769" s="322"/>
      <c r="I769" s="268" t="s">
        <v>41</v>
      </c>
      <c r="J769" s="28"/>
      <c r="K769" s="28"/>
      <c r="L769" s="28"/>
      <c r="M769" s="15"/>
      <c r="N769" s="254"/>
      <c r="BB769" s="2">
        <f t="shared" si="5"/>
        <v>0</v>
      </c>
      <c r="BD769" s="2">
        <f t="shared" si="6"/>
        <v>0</v>
      </c>
    </row>
    <row r="770" spans="1:57" ht="19.95" customHeight="1">
      <c r="A770" s="253"/>
      <c r="B770" s="268" t="s">
        <v>48</v>
      </c>
      <c r="C770" s="28"/>
      <c r="D770" s="28"/>
      <c r="E770" s="28"/>
      <c r="F770" s="15"/>
      <c r="G770" s="28"/>
      <c r="H770" s="322"/>
      <c r="I770" s="268" t="s">
        <v>595</v>
      </c>
      <c r="J770" s="28"/>
      <c r="K770" s="28"/>
      <c r="L770" s="28"/>
      <c r="M770" s="15"/>
      <c r="N770" s="254"/>
      <c r="BB770" s="2">
        <f>IF(F772=$BP$234,0.1,0)</f>
        <v>0</v>
      </c>
      <c r="BD770" s="2">
        <f>IF(M772=$BP$234,0.1,0)</f>
        <v>0</v>
      </c>
    </row>
    <row r="771" spans="1:57" ht="10.199999999999999" customHeight="1">
      <c r="A771" s="253"/>
      <c r="B771" s="268"/>
      <c r="C771" s="28"/>
      <c r="D771" s="28"/>
      <c r="E771" s="28"/>
      <c r="F771" s="28"/>
      <c r="G771" s="28"/>
      <c r="H771" s="322"/>
      <c r="I771" s="28"/>
      <c r="J771" s="28"/>
      <c r="K771" s="28"/>
      <c r="L771" s="28"/>
      <c r="M771" s="28"/>
      <c r="N771" s="254"/>
    </row>
    <row r="772" spans="1:57" ht="19.95" customHeight="1">
      <c r="A772" s="253"/>
      <c r="B772" s="974" t="str">
        <f>IF(AND(BB772=0,BD772=0),BB776,BB775)</f>
        <v>Political leaders and elites commonly presume you need them for your public-facing needs. They appeal to your "arguments" or your feelings for support, for votes, for political cover. They count on you relying on their generalizations for relief of these social-needs. They avoid your specifics to hold together fragile coalitions. The less your specific needs resolve, the more stuck you are in pain. Do you really need them? Or instead to resolve your needs by any responsible means necessary?</v>
      </c>
      <c r="C772" s="974"/>
      <c r="D772" s="974"/>
      <c r="E772" s="974"/>
      <c r="F772" s="974"/>
      <c r="G772" s="974"/>
      <c r="H772" s="974"/>
      <c r="I772" s="974"/>
      <c r="J772" s="974"/>
      <c r="K772" s="974"/>
      <c r="L772" s="974"/>
      <c r="M772" s="974"/>
      <c r="N772" s="254"/>
      <c r="BB772" s="16">
        <f>SUM(BB760:BB770)</f>
        <v>0</v>
      </c>
      <c r="BD772" s="16">
        <f>SUM(BD760:BD770)</f>
        <v>0</v>
      </c>
    </row>
    <row r="773" spans="1:57" ht="19.95" customHeight="1">
      <c r="A773" s="253"/>
      <c r="B773" s="974"/>
      <c r="C773" s="974"/>
      <c r="D773" s="974"/>
      <c r="E773" s="974"/>
      <c r="F773" s="974"/>
      <c r="G773" s="974"/>
      <c r="H773" s="974"/>
      <c r="I773" s="974"/>
      <c r="J773" s="974"/>
      <c r="K773" s="974"/>
      <c r="L773" s="974"/>
      <c r="M773" s="974"/>
      <c r="N773" s="254"/>
      <c r="BB773" s="46" t="s">
        <v>1226</v>
      </c>
      <c r="BC773" s="2" t="s">
        <v>1225</v>
      </c>
      <c r="BD773" s="2" t="s">
        <v>977</v>
      </c>
      <c r="BE773" s="47" t="s">
        <v>3</v>
      </c>
    </row>
    <row r="774" spans="1:57" ht="19.95" customHeight="1">
      <c r="A774" s="253"/>
      <c r="B774" s="974"/>
      <c r="C774" s="974"/>
      <c r="D774" s="974"/>
      <c r="E774" s="974"/>
      <c r="F774" s="974"/>
      <c r="G774" s="974"/>
      <c r="H774" s="974"/>
      <c r="I774" s="974"/>
      <c r="J774" s="974"/>
      <c r="K774" s="974"/>
      <c r="L774" s="974"/>
      <c r="M774" s="974"/>
      <c r="N774" s="254"/>
    </row>
    <row r="775" spans="1:57" ht="19.95" customHeight="1">
      <c r="A775" s="253"/>
      <c r="B775" s="974"/>
      <c r="C775" s="974"/>
      <c r="D775" s="974"/>
      <c r="E775" s="974"/>
      <c r="F775" s="974"/>
      <c r="G775" s="974"/>
      <c r="H775" s="974"/>
      <c r="I775" s="974"/>
      <c r="J775" s="974"/>
      <c r="K775" s="974"/>
      <c r="L775" s="974"/>
      <c r="M775" s="974"/>
      <c r="N775" s="254"/>
      <c r="BB775" s="2" t="str">
        <f>IF(BB772&lt;BD772,BB773,IF(BB772=BD772,BC773,IF(BB772&gt;BD772,BD773)))</f>
        <v>Popular politics rarely if ever inspires you to equally resolve your self-needs and social-needs. Instead, it easily polarizes you into camps of competing psychosocial priorities. Instead of encouraging wisdom of personal AND social responsibilities, it pits your needs against others. Instead of the high standard of fully resolving each other's needs as an act of noble love, it settles for pragmatically easing the discomfort of each other's unresolved needs. It typically keeps you in pain.</v>
      </c>
    </row>
    <row r="776" spans="1:57" ht="19.95" customHeight="1">
      <c r="A776" s="253"/>
      <c r="B776" s="974"/>
      <c r="C776" s="974"/>
      <c r="D776" s="974"/>
      <c r="E776" s="974"/>
      <c r="F776" s="974"/>
      <c r="G776" s="974"/>
      <c r="H776" s="974"/>
      <c r="I776" s="974"/>
      <c r="J776" s="974"/>
      <c r="K776" s="974"/>
      <c r="L776" s="974"/>
      <c r="M776" s="974"/>
      <c r="N776" s="254"/>
      <c r="BB776" s="2" t="s">
        <v>1224</v>
      </c>
    </row>
    <row r="777" spans="1:57" ht="4.95" customHeight="1">
      <c r="A777" s="255"/>
      <c r="B777" s="256"/>
      <c r="C777" s="256"/>
      <c r="D777" s="256"/>
      <c r="E777" s="256"/>
      <c r="F777" s="256"/>
      <c r="G777" s="256"/>
      <c r="H777" s="323"/>
      <c r="I777" s="256"/>
      <c r="J777" s="256"/>
      <c r="K777" s="256"/>
      <c r="L777" s="256"/>
      <c r="M777" s="256"/>
      <c r="N777" s="257"/>
    </row>
    <row r="778" spans="1:57" ht="30" customHeight="1">
      <c r="A778" s="258" t="s">
        <v>1148</v>
      </c>
      <c r="B778" s="946" t="s">
        <v>1132</v>
      </c>
      <c r="C778" s="946"/>
      <c r="D778" s="946"/>
      <c r="E778" s="946"/>
      <c r="F778" s="946"/>
      <c r="G778" s="946"/>
      <c r="H778" s="946"/>
      <c r="I778" s="946"/>
      <c r="J778" s="946"/>
      <c r="K778" s="946"/>
      <c r="L778" s="946"/>
      <c r="M778" s="259"/>
      <c r="N778" s="260" t="s">
        <v>1149</v>
      </c>
    </row>
    <row r="779" spans="1:57">
      <c r="A779" s="253"/>
      <c r="B779" s="28"/>
      <c r="C779" s="28"/>
      <c r="D779" s="28"/>
      <c r="E779" s="28"/>
      <c r="F779" s="28"/>
      <c r="G779" s="28"/>
      <c r="H779" s="322"/>
      <c r="I779" s="28"/>
      <c r="J779" s="28"/>
      <c r="K779" s="28"/>
      <c r="L779" s="28"/>
      <c r="M779" s="28"/>
      <c r="N779" s="254"/>
    </row>
    <row r="780" spans="1:57">
      <c r="A780" s="253"/>
      <c r="B780" s="28"/>
      <c r="C780" s="28"/>
      <c r="D780" s="28"/>
      <c r="E780" s="28"/>
      <c r="F780" s="28"/>
      <c r="G780" s="28"/>
      <c r="H780" s="322"/>
      <c r="I780" s="28"/>
      <c r="J780" s="28"/>
      <c r="K780" s="28"/>
      <c r="L780" s="28"/>
      <c r="M780" s="28"/>
      <c r="N780" s="254"/>
    </row>
    <row r="781" spans="1:57">
      <c r="A781" s="253"/>
      <c r="B781" s="28"/>
      <c r="C781" s="28"/>
      <c r="D781" s="28"/>
      <c r="E781" s="28"/>
      <c r="F781" s="28"/>
      <c r="G781" s="28"/>
      <c r="H781" s="322"/>
      <c r="I781" s="28"/>
      <c r="J781" s="28"/>
      <c r="K781" s="28"/>
      <c r="L781" s="28"/>
      <c r="M781" s="28"/>
      <c r="N781" s="254"/>
    </row>
    <row r="782" spans="1:57">
      <c r="A782" s="253"/>
      <c r="B782" s="28"/>
      <c r="C782" s="28"/>
      <c r="D782" s="28"/>
      <c r="E782" s="28"/>
      <c r="F782" s="28"/>
      <c r="G782" s="28"/>
      <c r="H782" s="322"/>
      <c r="I782" s="28"/>
      <c r="J782" s="28"/>
      <c r="K782" s="28"/>
      <c r="L782" s="28"/>
      <c r="M782" s="28"/>
      <c r="N782" s="254"/>
    </row>
    <row r="783" spans="1:57">
      <c r="A783" s="253"/>
      <c r="B783" s="28"/>
      <c r="C783" s="28"/>
      <c r="D783" s="28"/>
      <c r="E783" s="28"/>
      <c r="F783" s="28"/>
      <c r="G783" s="28"/>
      <c r="H783" s="322"/>
      <c r="I783" s="28"/>
      <c r="J783" s="28"/>
      <c r="K783" s="28"/>
      <c r="L783" s="28"/>
      <c r="M783" s="28"/>
      <c r="N783" s="254"/>
    </row>
    <row r="784" spans="1:57">
      <c r="A784" s="253"/>
      <c r="B784" s="28"/>
      <c r="C784" s="28"/>
      <c r="D784" s="28"/>
      <c r="E784" s="28"/>
      <c r="F784" s="28"/>
      <c r="G784" s="28"/>
      <c r="H784" s="322"/>
      <c r="I784" s="28"/>
      <c r="J784" s="28"/>
      <c r="K784" s="28"/>
      <c r="L784" s="28"/>
      <c r="M784" s="28"/>
      <c r="N784" s="254"/>
    </row>
    <row r="785" spans="1:14">
      <c r="A785" s="253"/>
      <c r="B785" s="28"/>
      <c r="C785" s="28"/>
      <c r="D785" s="28"/>
      <c r="E785" s="28"/>
      <c r="F785" s="28"/>
      <c r="G785" s="28"/>
      <c r="H785" s="322"/>
      <c r="I785" s="28"/>
      <c r="J785" s="28"/>
      <c r="K785" s="28"/>
      <c r="L785" s="28"/>
      <c r="M785" s="28"/>
      <c r="N785" s="254"/>
    </row>
    <row r="786" spans="1:14">
      <c r="A786" s="253"/>
      <c r="B786" s="28"/>
      <c r="C786" s="28"/>
      <c r="D786" s="28"/>
      <c r="E786" s="28"/>
      <c r="F786" s="28"/>
      <c r="G786" s="28"/>
      <c r="H786" s="322"/>
      <c r="I786" s="28"/>
      <c r="J786" s="28"/>
      <c r="K786" s="28"/>
      <c r="L786" s="28"/>
      <c r="M786" s="28"/>
      <c r="N786" s="254"/>
    </row>
    <row r="787" spans="1:14">
      <c r="A787" s="253"/>
      <c r="B787" s="28"/>
      <c r="C787" s="28"/>
      <c r="D787" s="28"/>
      <c r="E787" s="28"/>
      <c r="F787" s="28"/>
      <c r="G787" s="28"/>
      <c r="H787" s="322"/>
      <c r="I787" s="28"/>
      <c r="J787" s="28"/>
      <c r="K787" s="28"/>
      <c r="L787" s="28"/>
      <c r="M787" s="28"/>
      <c r="N787" s="254"/>
    </row>
    <row r="788" spans="1:14">
      <c r="A788" s="253"/>
      <c r="B788" s="28"/>
      <c r="C788" s="28"/>
      <c r="D788" s="28"/>
      <c r="E788" s="28"/>
      <c r="F788" s="28"/>
      <c r="G788" s="28"/>
      <c r="H788" s="322"/>
      <c r="I788" s="28"/>
      <c r="J788" s="28"/>
      <c r="K788" s="28"/>
      <c r="L788" s="28"/>
      <c r="M788" s="28"/>
      <c r="N788" s="254"/>
    </row>
    <row r="789" spans="1:14">
      <c r="A789" s="253"/>
      <c r="B789" s="28"/>
      <c r="C789" s="28"/>
      <c r="D789" s="28"/>
      <c r="E789" s="28"/>
      <c r="F789" s="28"/>
      <c r="G789" s="28"/>
      <c r="H789" s="322"/>
      <c r="I789" s="28"/>
      <c r="J789" s="28"/>
      <c r="K789" s="28"/>
      <c r="L789" s="28"/>
      <c r="M789" s="28"/>
      <c r="N789" s="254"/>
    </row>
    <row r="790" spans="1:14">
      <c r="A790" s="253"/>
      <c r="B790" s="28"/>
      <c r="C790" s="28"/>
      <c r="D790" s="28"/>
      <c r="E790" s="28"/>
      <c r="F790" s="28"/>
      <c r="G790" s="28"/>
      <c r="H790" s="322"/>
      <c r="I790" s="28"/>
      <c r="J790" s="28"/>
      <c r="K790" s="28"/>
      <c r="L790" s="28"/>
      <c r="M790" s="28"/>
      <c r="N790" s="254"/>
    </row>
    <row r="791" spans="1:14">
      <c r="A791" s="253"/>
      <c r="B791" s="28"/>
      <c r="C791" s="28"/>
      <c r="D791" s="28"/>
      <c r="E791" s="28"/>
      <c r="F791" s="28"/>
      <c r="G791" s="28"/>
      <c r="H791" s="322"/>
      <c r="I791" s="28"/>
      <c r="J791" s="28"/>
      <c r="K791" s="28"/>
      <c r="L791" s="28"/>
      <c r="M791" s="28"/>
      <c r="N791" s="254"/>
    </row>
    <row r="792" spans="1:14">
      <c r="A792" s="253"/>
      <c r="B792" s="28"/>
      <c r="C792" s="28"/>
      <c r="D792" s="28"/>
      <c r="E792" s="28"/>
      <c r="F792" s="28"/>
      <c r="G792" s="28"/>
      <c r="H792" s="322"/>
      <c r="I792" s="28"/>
      <c r="J792" s="28"/>
      <c r="K792" s="28"/>
      <c r="L792" s="28"/>
      <c r="M792" s="28"/>
      <c r="N792" s="254"/>
    </row>
    <row r="793" spans="1:14">
      <c r="A793" s="253"/>
      <c r="B793" s="28"/>
      <c r="C793" s="28"/>
      <c r="D793" s="28"/>
      <c r="E793" s="28"/>
      <c r="F793" s="28"/>
      <c r="G793" s="28"/>
      <c r="H793" s="322"/>
      <c r="I793" s="28"/>
      <c r="J793" s="28"/>
      <c r="K793" s="28"/>
      <c r="L793" s="28"/>
      <c r="M793" s="28"/>
      <c r="N793" s="254"/>
    </row>
    <row r="794" spans="1:14">
      <c r="A794" s="253"/>
      <c r="B794" s="28"/>
      <c r="C794" s="28"/>
      <c r="D794" s="28"/>
      <c r="E794" s="28"/>
      <c r="F794" s="28"/>
      <c r="G794" s="28"/>
      <c r="H794" s="322"/>
      <c r="I794" s="28"/>
      <c r="J794" s="28"/>
      <c r="K794" s="28"/>
      <c r="L794" s="28"/>
      <c r="M794" s="28"/>
      <c r="N794" s="254"/>
    </row>
    <row r="795" spans="1:14">
      <c r="A795" s="253"/>
      <c r="B795" s="28"/>
      <c r="C795" s="28"/>
      <c r="D795" s="28"/>
      <c r="E795" s="28"/>
      <c r="F795" s="28"/>
      <c r="G795" s="28"/>
      <c r="H795" s="322"/>
      <c r="I795" s="28"/>
      <c r="J795" s="28"/>
      <c r="K795" s="28"/>
      <c r="L795" s="28"/>
      <c r="M795" s="28"/>
      <c r="N795" s="254"/>
    </row>
    <row r="796" spans="1:14">
      <c r="A796" s="253"/>
      <c r="B796" s="28"/>
      <c r="C796" s="28"/>
      <c r="D796" s="28"/>
      <c r="E796" s="28"/>
      <c r="F796" s="28"/>
      <c r="G796" s="28"/>
      <c r="H796" s="322"/>
      <c r="I796" s="28"/>
      <c r="J796" s="28"/>
      <c r="K796" s="28"/>
      <c r="L796" s="28"/>
      <c r="M796" s="28"/>
      <c r="N796" s="254"/>
    </row>
    <row r="797" spans="1:14">
      <c r="A797" s="253"/>
      <c r="B797" s="28"/>
      <c r="C797" s="28"/>
      <c r="D797" s="28"/>
      <c r="E797" s="28"/>
      <c r="F797" s="28"/>
      <c r="G797" s="28"/>
      <c r="H797" s="322"/>
      <c r="I797" s="28"/>
      <c r="J797" s="28"/>
      <c r="K797" s="28"/>
      <c r="L797" s="28"/>
      <c r="M797" s="28"/>
      <c r="N797" s="254"/>
    </row>
    <row r="798" spans="1:14">
      <c r="A798" s="253"/>
      <c r="B798" s="28"/>
      <c r="C798" s="28"/>
      <c r="D798" s="28"/>
      <c r="E798" s="28"/>
      <c r="F798" s="28"/>
      <c r="G798" s="28"/>
      <c r="H798" s="322"/>
      <c r="I798" s="28"/>
      <c r="J798" s="28"/>
      <c r="K798" s="28"/>
      <c r="L798" s="28"/>
      <c r="M798" s="28"/>
      <c r="N798" s="254"/>
    </row>
    <row r="799" spans="1:14">
      <c r="A799" s="253"/>
      <c r="B799" s="28"/>
      <c r="C799" s="28"/>
      <c r="D799" s="28"/>
      <c r="E799" s="28"/>
      <c r="F799" s="28"/>
      <c r="G799" s="28"/>
      <c r="H799" s="322"/>
      <c r="I799" s="28"/>
      <c r="J799" s="28"/>
      <c r="K799" s="28"/>
      <c r="L799" s="28"/>
      <c r="M799" s="28"/>
      <c r="N799" s="254"/>
    </row>
    <row r="800" spans="1:14">
      <c r="A800" s="253"/>
      <c r="B800" s="28"/>
      <c r="C800" s="28"/>
      <c r="D800" s="28"/>
      <c r="E800" s="28"/>
      <c r="F800" s="28"/>
      <c r="G800" s="28"/>
      <c r="H800" s="322"/>
      <c r="I800" s="28"/>
      <c r="J800" s="28"/>
      <c r="K800" s="28"/>
      <c r="L800" s="28"/>
      <c r="M800" s="28"/>
      <c r="N800" s="254"/>
    </row>
    <row r="801" spans="1:14">
      <c r="A801" s="253"/>
      <c r="B801" s="28"/>
      <c r="C801" s="28"/>
      <c r="D801" s="28"/>
      <c r="E801" s="28"/>
      <c r="F801" s="28"/>
      <c r="G801" s="28"/>
      <c r="H801" s="322"/>
      <c r="I801" s="28"/>
      <c r="J801" s="28"/>
      <c r="K801" s="28"/>
      <c r="L801" s="28"/>
      <c r="M801" s="28"/>
      <c r="N801" s="254"/>
    </row>
    <row r="802" spans="1:14">
      <c r="A802" s="253"/>
      <c r="B802" s="28"/>
      <c r="C802" s="28"/>
      <c r="D802" s="28"/>
      <c r="E802" s="28"/>
      <c r="F802" s="28"/>
      <c r="G802" s="28"/>
      <c r="H802" s="322"/>
      <c r="I802" s="28"/>
      <c r="J802" s="28"/>
      <c r="K802" s="28"/>
      <c r="L802" s="28"/>
      <c r="M802" s="28"/>
      <c r="N802" s="254"/>
    </row>
    <row r="803" spans="1:14">
      <c r="A803" s="253"/>
      <c r="B803" s="28"/>
      <c r="C803" s="28"/>
      <c r="D803" s="28"/>
      <c r="E803" s="28"/>
      <c r="F803" s="28"/>
      <c r="G803" s="28"/>
      <c r="H803" s="322"/>
      <c r="I803" s="28"/>
      <c r="J803" s="28"/>
      <c r="K803" s="28"/>
      <c r="L803" s="28"/>
      <c r="M803" s="28"/>
      <c r="N803" s="254"/>
    </row>
    <row r="804" spans="1:14">
      <c r="A804" s="253"/>
      <c r="B804" s="28"/>
      <c r="C804" s="28"/>
      <c r="D804" s="28"/>
      <c r="E804" s="28"/>
      <c r="F804" s="28"/>
      <c r="G804" s="28"/>
      <c r="H804" s="322"/>
      <c r="I804" s="28"/>
      <c r="J804" s="28"/>
      <c r="K804" s="28"/>
      <c r="L804" s="28"/>
      <c r="M804" s="28"/>
      <c r="N804" s="254"/>
    </row>
    <row r="805" spans="1:14">
      <c r="A805" s="253"/>
      <c r="B805" s="28"/>
      <c r="C805" s="28"/>
      <c r="D805" s="28"/>
      <c r="E805" s="28"/>
      <c r="F805" s="28"/>
      <c r="G805" s="28"/>
      <c r="H805" s="322"/>
      <c r="I805" s="28"/>
      <c r="J805" s="28"/>
      <c r="K805" s="28"/>
      <c r="L805" s="28"/>
      <c r="M805" s="28"/>
      <c r="N805" s="254"/>
    </row>
    <row r="806" spans="1:14">
      <c r="A806" s="253"/>
      <c r="B806" s="28"/>
      <c r="C806" s="28"/>
      <c r="D806" s="28"/>
      <c r="E806" s="28"/>
      <c r="F806" s="28"/>
      <c r="G806" s="28"/>
      <c r="H806" s="322"/>
      <c r="I806" s="28"/>
      <c r="J806" s="28"/>
      <c r="K806" s="28"/>
      <c r="L806" s="28"/>
      <c r="M806" s="28"/>
      <c r="N806" s="254"/>
    </row>
    <row r="807" spans="1:14">
      <c r="A807" s="253"/>
      <c r="B807" s="28"/>
      <c r="C807" s="28"/>
      <c r="D807" s="28"/>
      <c r="E807" s="28"/>
      <c r="F807" s="28"/>
      <c r="G807" s="28"/>
      <c r="H807" s="322"/>
      <c r="I807" s="28"/>
      <c r="J807" s="28"/>
      <c r="K807" s="28"/>
      <c r="L807" s="28"/>
      <c r="M807" s="28"/>
      <c r="N807" s="254"/>
    </row>
    <row r="808" spans="1:14">
      <c r="A808" s="253"/>
      <c r="B808" s="28"/>
      <c r="C808" s="28"/>
      <c r="D808" s="28"/>
      <c r="E808" s="28"/>
      <c r="F808" s="28"/>
      <c r="G808" s="28"/>
      <c r="H808" s="322"/>
      <c r="I808" s="28"/>
      <c r="J808" s="28"/>
      <c r="K808" s="28"/>
      <c r="L808" s="28"/>
      <c r="M808" s="28"/>
      <c r="N808" s="254"/>
    </row>
    <row r="809" spans="1:14">
      <c r="A809" s="253"/>
      <c r="B809" s="28"/>
      <c r="C809" s="28"/>
      <c r="D809" s="28"/>
      <c r="E809" s="28"/>
      <c r="F809" s="28"/>
      <c r="G809" s="28"/>
      <c r="H809" s="322"/>
      <c r="I809" s="28"/>
      <c r="J809" s="28"/>
      <c r="K809" s="28"/>
      <c r="L809" s="28"/>
      <c r="M809" s="28"/>
      <c r="N809" s="254"/>
    </row>
    <row r="810" spans="1:14" ht="13.95" customHeight="1" thickBot="1">
      <c r="A810" s="253"/>
      <c r="B810" s="28"/>
      <c r="C810" s="28"/>
      <c r="D810" s="28"/>
      <c r="E810" s="28"/>
      <c r="F810" s="28"/>
      <c r="G810" s="28"/>
      <c r="H810" s="322"/>
      <c r="I810" s="28"/>
      <c r="J810" s="28"/>
      <c r="K810" s="28"/>
      <c r="L810" s="28"/>
      <c r="M810" s="28"/>
      <c r="N810" s="254"/>
    </row>
    <row r="811" spans="1:14" ht="13.95" customHeight="1" thickTop="1">
      <c r="A811" s="253"/>
      <c r="B811" s="979" t="s">
        <v>975</v>
      </c>
      <c r="C811" s="980"/>
      <c r="D811" s="980"/>
      <c r="E811" s="980"/>
      <c r="F811" s="980"/>
      <c r="G811" s="980"/>
      <c r="H811" s="980"/>
      <c r="I811" s="980"/>
      <c r="J811" s="980"/>
      <c r="K811" s="980"/>
      <c r="L811" s="980"/>
      <c r="M811" s="981"/>
      <c r="N811" s="254"/>
    </row>
    <row r="812" spans="1:14" ht="13.95" customHeight="1">
      <c r="A812" s="253"/>
      <c r="B812" s="982"/>
      <c r="C812" s="983"/>
      <c r="D812" s="983"/>
      <c r="E812" s="983"/>
      <c r="F812" s="983"/>
      <c r="G812" s="983"/>
      <c r="H812" s="983"/>
      <c r="I812" s="983"/>
      <c r="J812" s="983"/>
      <c r="K812" s="983"/>
      <c r="L812" s="983"/>
      <c r="M812" s="984"/>
      <c r="N812" s="254"/>
    </row>
    <row r="813" spans="1:14" ht="13.95" customHeight="1" thickBot="1">
      <c r="A813" s="253"/>
      <c r="B813" s="985"/>
      <c r="C813" s="986"/>
      <c r="D813" s="986"/>
      <c r="E813" s="986"/>
      <c r="F813" s="986"/>
      <c r="G813" s="986"/>
      <c r="H813" s="986"/>
      <c r="I813" s="986"/>
      <c r="J813" s="986"/>
      <c r="K813" s="986"/>
      <c r="L813" s="986"/>
      <c r="M813" s="987"/>
      <c r="N813" s="254"/>
    </row>
    <row r="814" spans="1:14" ht="13.95" customHeight="1" thickTop="1">
      <c r="A814" s="253"/>
      <c r="B814" s="266"/>
      <c r="C814" s="266"/>
      <c r="D814" s="266"/>
      <c r="E814" s="266"/>
      <c r="F814" s="266"/>
      <c r="G814" s="266"/>
      <c r="H814" s="334"/>
      <c r="I814" s="266"/>
      <c r="J814" s="266"/>
      <c r="K814" s="266"/>
      <c r="L814" s="266"/>
      <c r="M814" s="266"/>
      <c r="N814" s="254"/>
    </row>
    <row r="815" spans="1:14" ht="13.95" customHeight="1">
      <c r="A815" s="253"/>
      <c r="B815" s="975" t="s">
        <v>974</v>
      </c>
      <c r="C815" s="976"/>
      <c r="D815" s="976"/>
      <c r="E815" s="976"/>
      <c r="F815" s="976"/>
      <c r="G815" s="28"/>
      <c r="H815" s="322"/>
      <c r="I815" s="977" t="s">
        <v>973</v>
      </c>
      <c r="J815" s="977"/>
      <c r="K815" s="977"/>
      <c r="L815" s="977"/>
      <c r="M815" s="977"/>
      <c r="N815" s="254"/>
    </row>
    <row r="816" spans="1:14">
      <c r="A816" s="253"/>
      <c r="B816" s="976"/>
      <c r="C816" s="976"/>
      <c r="D816" s="976"/>
      <c r="E816" s="976"/>
      <c r="F816" s="976"/>
      <c r="G816" s="28"/>
      <c r="H816" s="322"/>
      <c r="I816" s="977"/>
      <c r="J816" s="977"/>
      <c r="K816" s="977"/>
      <c r="L816" s="977"/>
      <c r="M816" s="977"/>
      <c r="N816" s="254"/>
    </row>
    <row r="817" spans="1:74">
      <c r="A817" s="253"/>
      <c r="B817" s="976"/>
      <c r="C817" s="976"/>
      <c r="D817" s="976"/>
      <c r="E817" s="976"/>
      <c r="F817" s="976"/>
      <c r="G817" s="978" t="s">
        <v>635</v>
      </c>
      <c r="H817" s="978"/>
      <c r="I817" s="977"/>
      <c r="J817" s="977"/>
      <c r="K817" s="977"/>
      <c r="L817" s="977"/>
      <c r="M817" s="977"/>
      <c r="N817" s="254"/>
    </row>
    <row r="818" spans="1:74">
      <c r="A818" s="253"/>
      <c r="B818" s="976"/>
      <c r="C818" s="976"/>
      <c r="D818" s="976"/>
      <c r="E818" s="976"/>
      <c r="F818" s="976"/>
      <c r="G818" s="978"/>
      <c r="H818" s="978"/>
      <c r="I818" s="977"/>
      <c r="J818" s="977"/>
      <c r="K818" s="977"/>
      <c r="L818" s="977"/>
      <c r="M818" s="977"/>
      <c r="N818" s="254"/>
    </row>
    <row r="819" spans="1:74">
      <c r="A819" s="253"/>
      <c r="B819" s="976"/>
      <c r="C819" s="976"/>
      <c r="D819" s="976"/>
      <c r="E819" s="976"/>
      <c r="F819" s="976"/>
      <c r="G819" s="978"/>
      <c r="H819" s="978"/>
      <c r="I819" s="977"/>
      <c r="J819" s="977"/>
      <c r="K819" s="977"/>
      <c r="L819" s="977"/>
      <c r="M819" s="977"/>
      <c r="N819" s="254"/>
    </row>
    <row r="820" spans="1:74">
      <c r="A820" s="253"/>
      <c r="B820" s="28"/>
      <c r="C820" s="28"/>
      <c r="D820" s="28"/>
      <c r="E820" s="28"/>
      <c r="F820" s="28"/>
      <c r="G820" s="28"/>
      <c r="H820" s="322"/>
      <c r="I820" s="28"/>
      <c r="J820" s="28"/>
      <c r="K820" s="28"/>
      <c r="L820" s="28"/>
      <c r="M820" s="28"/>
      <c r="N820" s="254"/>
    </row>
    <row r="821" spans="1:74">
      <c r="A821" s="253"/>
      <c r="B821" s="28"/>
      <c r="C821" s="28"/>
      <c r="D821" s="28"/>
      <c r="E821" s="28"/>
      <c r="F821" s="28"/>
      <c r="G821" s="28"/>
      <c r="H821" s="322"/>
      <c r="I821" s="28"/>
      <c r="J821" s="28"/>
      <c r="K821" s="28"/>
      <c r="L821" s="28"/>
      <c r="M821" s="28"/>
      <c r="N821" s="254"/>
    </row>
    <row r="822" spans="1:74">
      <c r="A822" s="253"/>
      <c r="B822" s="28"/>
      <c r="C822" s="28"/>
      <c r="D822" s="28"/>
      <c r="E822" s="28"/>
      <c r="F822" s="28"/>
      <c r="G822" s="28"/>
      <c r="H822" s="322"/>
      <c r="I822" s="28"/>
      <c r="J822" s="28"/>
      <c r="K822" s="28"/>
      <c r="L822" s="28"/>
      <c r="M822" s="28"/>
      <c r="N822" s="254"/>
    </row>
    <row r="823" spans="1:74">
      <c r="A823" s="253"/>
      <c r="B823" s="28"/>
      <c r="C823" s="28"/>
      <c r="D823" s="28"/>
      <c r="E823" s="28"/>
      <c r="F823" s="28"/>
      <c r="G823" s="28"/>
      <c r="H823" s="322"/>
      <c r="I823" s="28"/>
      <c r="J823" s="28"/>
      <c r="K823" s="28"/>
      <c r="L823" s="28"/>
      <c r="M823" s="28"/>
      <c r="N823" s="254"/>
    </row>
    <row r="824" spans="1:74">
      <c r="A824" s="255"/>
      <c r="B824" s="256"/>
      <c r="C824" s="256"/>
      <c r="D824" s="256"/>
      <c r="E824" s="256"/>
      <c r="F824" s="256"/>
      <c r="G824" s="256"/>
      <c r="H824" s="323"/>
      <c r="I824" s="256"/>
      <c r="J824" s="256"/>
      <c r="K824" s="256"/>
      <c r="L824" s="256"/>
      <c r="M824" s="256"/>
      <c r="N824" s="257"/>
    </row>
    <row r="825" spans="1:74" ht="30" customHeight="1">
      <c r="A825" s="265" t="s">
        <v>1148</v>
      </c>
      <c r="B825" s="946" t="s">
        <v>459</v>
      </c>
      <c r="C825" s="946"/>
      <c r="D825" s="946"/>
      <c r="E825" s="946"/>
      <c r="F825" s="946"/>
      <c r="G825" s="946"/>
      <c r="H825" s="946"/>
      <c r="I825" s="946"/>
      <c r="J825" s="946"/>
      <c r="K825" s="946"/>
      <c r="L825" s="946"/>
      <c r="M825" s="181"/>
      <c r="N825" s="183" t="s">
        <v>1149</v>
      </c>
    </row>
    <row r="826" spans="1:74">
      <c r="A826" s="245"/>
      <c r="B826" s="112"/>
      <c r="C826" s="112"/>
      <c r="D826" s="112"/>
      <c r="E826" s="112"/>
      <c r="F826" s="112"/>
      <c r="G826" s="112"/>
      <c r="H826" s="335"/>
      <c r="I826" s="112"/>
      <c r="J826" s="112"/>
      <c r="K826" s="112"/>
      <c r="L826" s="112"/>
      <c r="M826" s="112"/>
      <c r="N826" s="246"/>
      <c r="BT826" s="2" t="str">
        <f>CONCATENATE(BW826,BX826)</f>
        <v/>
      </c>
      <c r="BV826" s="47" t="s">
        <v>3</v>
      </c>
    </row>
    <row r="827" spans="1:74">
      <c r="A827" s="245"/>
      <c r="B827" s="112"/>
      <c r="C827" s="112"/>
      <c r="D827" s="112"/>
      <c r="E827" s="112"/>
      <c r="F827" s="112"/>
      <c r="G827" s="112"/>
      <c r="H827" s="335"/>
      <c r="I827" s="112"/>
      <c r="J827" s="112"/>
      <c r="K827" s="112"/>
      <c r="L827" s="112"/>
      <c r="M827" s="112"/>
      <c r="N827" s="246"/>
    </row>
    <row r="828" spans="1:74">
      <c r="A828" s="245"/>
      <c r="B828" s="112"/>
      <c r="C828" s="112"/>
      <c r="D828" s="112"/>
      <c r="E828" s="112"/>
      <c r="F828" s="112"/>
      <c r="G828" s="112"/>
      <c r="H828" s="335"/>
      <c r="I828" s="112"/>
      <c r="J828" s="112"/>
      <c r="K828" s="112"/>
      <c r="L828" s="112"/>
      <c r="M828" s="112"/>
      <c r="N828" s="246"/>
    </row>
    <row r="829" spans="1:74">
      <c r="A829" s="245"/>
      <c r="B829" s="112"/>
      <c r="C829" s="112"/>
      <c r="D829" s="112"/>
      <c r="E829" s="112"/>
      <c r="F829" s="112"/>
      <c r="G829" s="112"/>
      <c r="H829" s="335"/>
      <c r="I829" s="112"/>
      <c r="J829" s="112"/>
      <c r="K829" s="112"/>
      <c r="L829" s="112"/>
      <c r="M829" s="112"/>
      <c r="N829" s="246"/>
      <c r="BT829" s="2" t="str">
        <f>CONCATENATE(BW829,BX829)</f>
        <v/>
      </c>
      <c r="BV829" s="47" t="s">
        <v>3</v>
      </c>
    </row>
    <row r="830" spans="1:74">
      <c r="A830" s="245"/>
      <c r="B830" s="112"/>
      <c r="C830" s="112"/>
      <c r="D830" s="112"/>
      <c r="E830" s="112"/>
      <c r="F830" s="112"/>
      <c r="G830" s="112"/>
      <c r="H830" s="335"/>
      <c r="I830" s="112"/>
      <c r="J830" s="112"/>
      <c r="K830" s="112"/>
      <c r="L830" s="112"/>
      <c r="M830" s="112"/>
      <c r="N830" s="246"/>
    </row>
    <row r="831" spans="1:74">
      <c r="A831" s="245"/>
      <c r="B831" s="112"/>
      <c r="C831" s="112"/>
      <c r="D831" s="112"/>
      <c r="E831" s="112"/>
      <c r="F831" s="112"/>
      <c r="G831" s="112"/>
      <c r="H831" s="335"/>
      <c r="I831" s="112"/>
      <c r="J831" s="112"/>
      <c r="K831" s="112"/>
      <c r="L831" s="112"/>
      <c r="M831" s="112"/>
      <c r="N831" s="246"/>
    </row>
    <row r="832" spans="1:74">
      <c r="A832" s="245"/>
      <c r="B832" s="112"/>
      <c r="C832" s="112"/>
      <c r="D832" s="112"/>
      <c r="E832" s="112"/>
      <c r="F832" s="112"/>
      <c r="G832" s="112"/>
      <c r="H832" s="335"/>
      <c r="I832" s="112"/>
      <c r="J832" s="112"/>
      <c r="K832" s="112"/>
      <c r="L832" s="112"/>
      <c r="M832" s="112"/>
      <c r="N832" s="246"/>
      <c r="BV832" s="47" t="s">
        <v>3</v>
      </c>
    </row>
    <row r="833" spans="1:74">
      <c r="A833" s="245"/>
      <c r="B833" s="112"/>
      <c r="C833" s="112"/>
      <c r="D833" s="112"/>
      <c r="E833" s="112"/>
      <c r="F833" s="112"/>
      <c r="G833" s="112"/>
      <c r="H833" s="335"/>
      <c r="I833" s="112"/>
      <c r="J833" s="112"/>
      <c r="K833" s="112"/>
      <c r="L833" s="112"/>
      <c r="M833" s="112"/>
      <c r="N833" s="246"/>
    </row>
    <row r="834" spans="1:74">
      <c r="A834" s="245"/>
      <c r="B834" s="112"/>
      <c r="C834" s="112"/>
      <c r="D834" s="112"/>
      <c r="E834" s="112"/>
      <c r="F834" s="112"/>
      <c r="G834" s="112"/>
      <c r="H834" s="335"/>
      <c r="I834" s="112"/>
      <c r="J834" s="112"/>
      <c r="K834" s="112"/>
      <c r="L834" s="112"/>
      <c r="M834" s="112"/>
      <c r="N834" s="246"/>
    </row>
    <row r="835" spans="1:74">
      <c r="A835" s="242"/>
      <c r="B835" s="244"/>
      <c r="C835" s="244"/>
      <c r="D835" s="244"/>
      <c r="E835" s="244"/>
      <c r="F835" s="244"/>
      <c r="G835" s="244"/>
      <c r="H835" s="336"/>
      <c r="I835" s="244"/>
      <c r="J835" s="244"/>
      <c r="K835" s="244"/>
      <c r="L835" s="244"/>
      <c r="M835" s="244"/>
      <c r="N835" s="243"/>
    </row>
    <row r="836" spans="1:74">
      <c r="A836" s="242"/>
      <c r="B836" s="244"/>
      <c r="C836" s="244"/>
      <c r="D836" s="244"/>
      <c r="E836" s="244"/>
      <c r="F836" s="244"/>
      <c r="G836" s="244"/>
      <c r="H836" s="336"/>
      <c r="I836" s="244"/>
      <c r="J836" s="244"/>
      <c r="K836" s="244"/>
      <c r="L836" s="244"/>
      <c r="M836" s="244"/>
      <c r="N836" s="243"/>
      <c r="BV836" s="47" t="s">
        <v>3</v>
      </c>
    </row>
    <row r="837" spans="1:74">
      <c r="A837" s="242"/>
      <c r="B837" s="244"/>
      <c r="C837" s="244"/>
      <c r="D837" s="244"/>
      <c r="E837" s="244"/>
      <c r="F837" s="244"/>
      <c r="G837" s="244"/>
      <c r="H837" s="336"/>
      <c r="I837" s="244"/>
      <c r="J837" s="244"/>
      <c r="K837" s="244"/>
      <c r="L837" s="244"/>
      <c r="M837" s="244"/>
      <c r="N837" s="243"/>
    </row>
    <row r="838" spans="1:74">
      <c r="A838" s="242"/>
      <c r="B838" s="244"/>
      <c r="C838" s="244"/>
      <c r="D838" s="244"/>
      <c r="E838" s="244"/>
      <c r="F838" s="244"/>
      <c r="G838" s="244"/>
      <c r="H838" s="336"/>
      <c r="I838" s="244"/>
      <c r="J838" s="244"/>
      <c r="K838" s="244"/>
      <c r="L838" s="244"/>
      <c r="M838" s="244"/>
      <c r="N838" s="243"/>
    </row>
    <row r="839" spans="1:74">
      <c r="A839" s="242"/>
      <c r="B839" s="244"/>
      <c r="C839" s="244"/>
      <c r="D839" s="244"/>
      <c r="E839" s="244"/>
      <c r="F839" s="244"/>
      <c r="G839" s="244"/>
      <c r="H839" s="336"/>
      <c r="I839" s="244"/>
      <c r="J839" s="244"/>
      <c r="K839" s="244"/>
      <c r="L839" s="244"/>
      <c r="M839" s="244"/>
      <c r="N839" s="243"/>
      <c r="BV839" s="47" t="s">
        <v>3</v>
      </c>
    </row>
    <row r="840" spans="1:74">
      <c r="A840" s="242"/>
      <c r="B840" s="244"/>
      <c r="C840" s="244"/>
      <c r="D840" s="244"/>
      <c r="E840" s="244"/>
      <c r="F840" s="244"/>
      <c r="G840" s="244"/>
      <c r="H840" s="336"/>
      <c r="I840" s="244"/>
      <c r="J840" s="244"/>
      <c r="K840" s="244"/>
      <c r="L840" s="244"/>
      <c r="M840" s="244"/>
      <c r="N840" s="243"/>
    </row>
    <row r="841" spans="1:74">
      <c r="A841" s="242"/>
      <c r="B841" s="244"/>
      <c r="C841" s="244"/>
      <c r="D841" s="244"/>
      <c r="E841" s="244"/>
      <c r="F841" s="244"/>
      <c r="G841" s="244"/>
      <c r="H841" s="336"/>
      <c r="I841" s="244"/>
      <c r="J841" s="244"/>
      <c r="K841" s="244"/>
      <c r="L841" s="244"/>
      <c r="M841" s="244"/>
      <c r="N841" s="243"/>
    </row>
    <row r="842" spans="1:74">
      <c r="A842" s="242"/>
      <c r="B842" s="244"/>
      <c r="C842" s="244"/>
      <c r="D842" s="244"/>
      <c r="E842" s="244"/>
      <c r="F842" s="244"/>
      <c r="G842" s="244"/>
      <c r="H842" s="336"/>
      <c r="I842" s="244"/>
      <c r="J842" s="244"/>
      <c r="K842" s="244"/>
      <c r="L842" s="244"/>
      <c r="M842" s="244"/>
      <c r="N842" s="243"/>
      <c r="BV842" s="47" t="s">
        <v>3</v>
      </c>
    </row>
    <row r="843" spans="1:74">
      <c r="A843" s="242"/>
      <c r="B843" s="244"/>
      <c r="C843" s="244"/>
      <c r="D843" s="244"/>
      <c r="E843" s="244"/>
      <c r="F843" s="244"/>
      <c r="G843" s="244"/>
      <c r="H843" s="336"/>
      <c r="I843" s="244"/>
      <c r="J843" s="244"/>
      <c r="K843" s="244"/>
      <c r="L843" s="244"/>
      <c r="M843" s="244"/>
      <c r="N843" s="243"/>
    </row>
    <row r="844" spans="1:74">
      <c r="A844" s="253"/>
      <c r="B844" s="28"/>
      <c r="C844" s="28"/>
      <c r="D844" s="28"/>
      <c r="E844" s="28"/>
      <c r="F844" s="28"/>
      <c r="G844" s="28"/>
      <c r="H844" s="322"/>
      <c r="I844" s="28"/>
      <c r="J844" s="28"/>
      <c r="K844" s="28"/>
      <c r="L844" s="28"/>
      <c r="M844" s="28"/>
      <c r="N844" s="254"/>
    </row>
    <row r="845" spans="1:74">
      <c r="A845" s="253"/>
      <c r="B845" s="28"/>
      <c r="C845" s="28"/>
      <c r="D845" s="28"/>
      <c r="E845" s="28"/>
      <c r="F845" s="28"/>
      <c r="G845" s="28"/>
      <c r="H845" s="322"/>
      <c r="I845" s="28"/>
      <c r="J845" s="28"/>
      <c r="K845" s="28"/>
      <c r="L845" s="28"/>
      <c r="M845" s="28"/>
      <c r="N845" s="254"/>
      <c r="BV845" s="47" t="s">
        <v>3</v>
      </c>
    </row>
    <row r="846" spans="1:74">
      <c r="A846" s="253"/>
      <c r="B846" s="28"/>
      <c r="C846" s="28"/>
      <c r="D846" s="28"/>
      <c r="E846" s="28"/>
      <c r="F846" s="28"/>
      <c r="G846" s="28"/>
      <c r="H846" s="322"/>
      <c r="I846" s="28"/>
      <c r="J846" s="28"/>
      <c r="K846" s="28"/>
      <c r="L846" s="28"/>
      <c r="M846" s="28"/>
      <c r="N846" s="254"/>
    </row>
    <row r="847" spans="1:74">
      <c r="A847" s="253"/>
      <c r="B847" s="28"/>
      <c r="C847" s="28"/>
      <c r="D847" s="28"/>
      <c r="E847" s="28"/>
      <c r="F847" s="28"/>
      <c r="G847" s="28"/>
      <c r="H847" s="322"/>
      <c r="I847" s="28"/>
      <c r="J847" s="28"/>
      <c r="K847" s="28"/>
      <c r="L847" s="28"/>
      <c r="M847" s="28"/>
      <c r="N847" s="254"/>
    </row>
    <row r="848" spans="1:74">
      <c r="A848" s="253"/>
      <c r="B848" s="28"/>
      <c r="C848" s="28"/>
      <c r="D848" s="28"/>
      <c r="E848" s="28"/>
      <c r="F848" s="28"/>
      <c r="G848" s="28"/>
      <c r="H848" s="322"/>
      <c r="I848" s="28"/>
      <c r="J848" s="28"/>
      <c r="K848" s="28"/>
      <c r="L848" s="28"/>
      <c r="M848" s="28"/>
      <c r="N848" s="254"/>
    </row>
    <row r="849" spans="1:14">
      <c r="A849" s="245"/>
      <c r="B849" s="112"/>
      <c r="C849" s="112"/>
      <c r="D849" s="112"/>
      <c r="E849" s="112"/>
      <c r="F849" s="112"/>
      <c r="G849" s="112"/>
      <c r="H849" s="335"/>
      <c r="I849" s="112"/>
      <c r="J849" s="112"/>
      <c r="K849" s="112"/>
      <c r="L849" s="112"/>
      <c r="M849" s="112"/>
      <c r="N849" s="246"/>
    </row>
    <row r="850" spans="1:14">
      <c r="A850" s="245"/>
      <c r="B850" s="112"/>
      <c r="C850" s="112"/>
      <c r="D850" s="112"/>
      <c r="E850" s="112"/>
      <c r="F850" s="112"/>
      <c r="G850" s="112"/>
      <c r="H850" s="335"/>
      <c r="I850" s="112"/>
      <c r="J850" s="112"/>
      <c r="K850" s="112"/>
      <c r="L850" s="112"/>
      <c r="M850" s="112"/>
      <c r="N850" s="246"/>
    </row>
    <row r="851" spans="1:14">
      <c r="A851" s="245"/>
      <c r="B851" s="112"/>
      <c r="C851" s="112"/>
      <c r="D851" s="112"/>
      <c r="E851" s="112"/>
      <c r="F851" s="112"/>
      <c r="G851" s="112"/>
      <c r="H851" s="335"/>
      <c r="I851" s="112"/>
      <c r="J851" s="112"/>
      <c r="K851" s="112"/>
      <c r="L851" s="112"/>
      <c r="M851" s="112"/>
      <c r="N851" s="246"/>
    </row>
    <row r="852" spans="1:14">
      <c r="A852" s="245"/>
      <c r="B852" s="112"/>
      <c r="C852" s="112"/>
      <c r="D852" s="112"/>
      <c r="E852" s="112"/>
      <c r="F852" s="112"/>
      <c r="G852" s="112"/>
      <c r="H852" s="335"/>
      <c r="I852" s="112"/>
      <c r="J852" s="112"/>
      <c r="K852" s="112"/>
      <c r="L852" s="112"/>
      <c r="M852" s="112"/>
      <c r="N852" s="246"/>
    </row>
    <row r="853" spans="1:14">
      <c r="A853" s="245"/>
      <c r="B853" s="112"/>
      <c r="C853" s="112"/>
      <c r="D853" s="112"/>
      <c r="E853" s="112"/>
      <c r="F853" s="112"/>
      <c r="G853" s="112"/>
      <c r="H853" s="335"/>
      <c r="I853" s="112"/>
      <c r="J853" s="112"/>
      <c r="K853" s="112"/>
      <c r="L853" s="112"/>
      <c r="M853" s="112"/>
      <c r="N853" s="246"/>
    </row>
    <row r="854" spans="1:14">
      <c r="A854" s="245"/>
      <c r="B854" s="112"/>
      <c r="C854" s="112"/>
      <c r="D854" s="112"/>
      <c r="E854" s="112"/>
      <c r="F854" s="112"/>
      <c r="G854" s="112"/>
      <c r="H854" s="335"/>
      <c r="I854" s="112"/>
      <c r="J854" s="112"/>
      <c r="K854" s="112"/>
      <c r="L854" s="112"/>
      <c r="M854" s="112"/>
      <c r="N854" s="246"/>
    </row>
    <row r="855" spans="1:14">
      <c r="A855" s="245"/>
      <c r="B855" s="112"/>
      <c r="C855" s="112"/>
      <c r="D855" s="112"/>
      <c r="E855" s="112"/>
      <c r="F855" s="112"/>
      <c r="G855" s="112"/>
      <c r="H855" s="335"/>
      <c r="I855" s="112"/>
      <c r="J855" s="112"/>
      <c r="K855" s="112"/>
      <c r="L855" s="112"/>
      <c r="M855" s="112"/>
      <c r="N855" s="246"/>
    </row>
    <row r="856" spans="1:14">
      <c r="A856" s="245"/>
      <c r="B856" s="112"/>
      <c r="C856" s="112"/>
      <c r="D856" s="112"/>
      <c r="E856" s="112"/>
      <c r="F856" s="112"/>
      <c r="G856" s="112"/>
      <c r="H856" s="335"/>
      <c r="I856" s="112"/>
      <c r="J856" s="112"/>
      <c r="K856" s="112"/>
      <c r="L856" s="112"/>
      <c r="M856" s="112"/>
      <c r="N856" s="246"/>
    </row>
    <row r="857" spans="1:14">
      <c r="A857" s="245"/>
      <c r="B857" s="112"/>
      <c r="C857" s="112"/>
      <c r="D857" s="112"/>
      <c r="E857" s="112"/>
      <c r="F857" s="112"/>
      <c r="G857" s="112"/>
      <c r="H857" s="335"/>
      <c r="I857" s="112"/>
      <c r="J857" s="112"/>
      <c r="K857" s="112"/>
      <c r="L857" s="112"/>
      <c r="M857" s="112"/>
      <c r="N857" s="246"/>
    </row>
    <row r="858" spans="1:14">
      <c r="A858" s="245"/>
      <c r="B858" s="112"/>
      <c r="C858" s="112"/>
      <c r="D858" s="112"/>
      <c r="E858" s="112"/>
      <c r="F858" s="112"/>
      <c r="G858" s="112"/>
      <c r="H858" s="335"/>
      <c r="I858" s="112"/>
      <c r="J858" s="112"/>
      <c r="K858" s="112"/>
      <c r="L858" s="112"/>
      <c r="M858" s="112"/>
      <c r="N858" s="246"/>
    </row>
    <row r="859" spans="1:14">
      <c r="A859" s="245"/>
      <c r="B859" s="112"/>
      <c r="C859" s="112"/>
      <c r="D859" s="112"/>
      <c r="E859" s="112"/>
      <c r="F859" s="112"/>
      <c r="G859" s="112"/>
      <c r="H859" s="335"/>
      <c r="I859" s="112"/>
      <c r="J859" s="112"/>
      <c r="K859" s="112"/>
      <c r="L859" s="112"/>
      <c r="M859" s="112"/>
      <c r="N859" s="246"/>
    </row>
    <row r="860" spans="1:14">
      <c r="A860" s="245"/>
      <c r="B860" s="112"/>
      <c r="C860" s="112"/>
      <c r="D860" s="112"/>
      <c r="E860" s="112"/>
      <c r="F860" s="112"/>
      <c r="G860" s="112"/>
      <c r="H860" s="335"/>
      <c r="I860" s="112"/>
      <c r="J860" s="112"/>
      <c r="K860" s="112"/>
      <c r="L860" s="112"/>
      <c r="M860" s="112"/>
      <c r="N860" s="246"/>
    </row>
    <row r="861" spans="1:14">
      <c r="A861" s="245"/>
      <c r="B861" s="112"/>
      <c r="C861" s="112"/>
      <c r="D861" s="112"/>
      <c r="E861" s="112"/>
      <c r="F861" s="112"/>
      <c r="G861" s="112"/>
      <c r="H861" s="335"/>
      <c r="I861" s="112"/>
      <c r="J861" s="112"/>
      <c r="K861" s="112"/>
      <c r="L861" s="112"/>
      <c r="M861" s="112"/>
      <c r="N861" s="246"/>
    </row>
    <row r="862" spans="1:14">
      <c r="A862" s="245"/>
      <c r="B862" s="112"/>
      <c r="C862" s="112"/>
      <c r="D862" s="112"/>
      <c r="E862" s="112"/>
      <c r="F862" s="112"/>
      <c r="G862" s="112"/>
      <c r="H862" s="335"/>
      <c r="I862" s="112"/>
      <c r="J862" s="112"/>
      <c r="K862" s="112"/>
      <c r="L862" s="112"/>
      <c r="M862" s="112"/>
      <c r="N862" s="246"/>
    </row>
    <row r="863" spans="1:14">
      <c r="A863" s="245"/>
      <c r="B863" s="112"/>
      <c r="C863" s="112"/>
      <c r="D863" s="112"/>
      <c r="E863" s="112"/>
      <c r="F863" s="112"/>
      <c r="G863" s="112"/>
      <c r="H863" s="335"/>
      <c r="I863" s="112"/>
      <c r="J863" s="112"/>
      <c r="K863" s="112"/>
      <c r="L863" s="112"/>
      <c r="M863" s="112"/>
      <c r="N863" s="246"/>
    </row>
    <row r="864" spans="1:14">
      <c r="A864" s="242"/>
      <c r="B864" s="244"/>
      <c r="C864" s="244"/>
      <c r="D864" s="244"/>
      <c r="E864" s="244"/>
      <c r="F864" s="244"/>
      <c r="G864" s="244"/>
      <c r="H864" s="336"/>
      <c r="I864" s="244"/>
      <c r="J864" s="244"/>
      <c r="K864" s="244"/>
      <c r="L864" s="244"/>
      <c r="M864" s="244"/>
      <c r="N864" s="243"/>
    </row>
    <row r="865" spans="1:14">
      <c r="A865" s="242"/>
      <c r="B865" s="244"/>
      <c r="C865" s="244"/>
      <c r="D865" s="244"/>
      <c r="E865" s="244"/>
      <c r="F865" s="244"/>
      <c r="G865" s="244"/>
      <c r="H865" s="336"/>
      <c r="I865" s="244"/>
      <c r="J865" s="244"/>
      <c r="K865" s="244"/>
      <c r="L865" s="244"/>
      <c r="M865" s="244"/>
      <c r="N865" s="243"/>
    </row>
    <row r="866" spans="1:14">
      <c r="A866" s="242"/>
      <c r="B866" s="244"/>
      <c r="C866" s="244"/>
      <c r="D866" s="244"/>
      <c r="E866" s="244"/>
      <c r="F866" s="244"/>
      <c r="G866" s="244"/>
      <c r="H866" s="336"/>
      <c r="I866" s="244"/>
      <c r="J866" s="244"/>
      <c r="K866" s="244"/>
      <c r="L866" s="244"/>
      <c r="M866" s="244"/>
      <c r="N866" s="243"/>
    </row>
    <row r="867" spans="1:14">
      <c r="A867" s="242"/>
      <c r="B867" s="244"/>
      <c r="C867" s="244"/>
      <c r="D867" s="244"/>
      <c r="E867" s="244"/>
      <c r="F867" s="244"/>
      <c r="G867" s="244"/>
      <c r="H867" s="336"/>
      <c r="I867" s="244"/>
      <c r="J867" s="244"/>
      <c r="K867" s="244"/>
      <c r="L867" s="244"/>
      <c r="M867" s="244"/>
      <c r="N867" s="243"/>
    </row>
    <row r="868" spans="1:14">
      <c r="A868" s="242"/>
      <c r="B868" s="244"/>
      <c r="C868" s="244"/>
      <c r="D868" s="244"/>
      <c r="E868" s="244"/>
      <c r="F868" s="244"/>
      <c r="G868" s="244"/>
      <c r="H868" s="336"/>
      <c r="I868" s="244"/>
      <c r="J868" s="244"/>
      <c r="K868" s="244"/>
      <c r="L868" s="244"/>
      <c r="M868" s="244"/>
      <c r="N868" s="243"/>
    </row>
    <row r="869" spans="1:14">
      <c r="A869" s="242"/>
      <c r="B869" s="244"/>
      <c r="C869" s="244"/>
      <c r="D869" s="244"/>
      <c r="E869" s="244"/>
      <c r="F869" s="244"/>
      <c r="G869" s="244"/>
      <c r="H869" s="336"/>
      <c r="I869" s="244"/>
      <c r="J869" s="244"/>
      <c r="K869" s="244"/>
      <c r="L869" s="244"/>
      <c r="M869" s="244"/>
      <c r="N869" s="243"/>
    </row>
    <row r="870" spans="1:14">
      <c r="A870" s="242"/>
      <c r="B870" s="244"/>
      <c r="C870" s="244"/>
      <c r="D870" s="244"/>
      <c r="E870" s="244"/>
      <c r="F870" s="244"/>
      <c r="G870" s="244"/>
      <c r="H870" s="336"/>
      <c r="I870" s="244"/>
      <c r="J870" s="244"/>
      <c r="K870" s="244"/>
      <c r="L870" s="244"/>
      <c r="M870" s="244"/>
      <c r="N870" s="243"/>
    </row>
    <row r="871" spans="1:14">
      <c r="A871" s="261"/>
      <c r="B871" s="262"/>
      <c r="C871" s="262"/>
      <c r="D871" s="262"/>
      <c r="E871" s="262"/>
      <c r="F871" s="262"/>
      <c r="G871" s="262"/>
      <c r="H871" s="337"/>
      <c r="I871" s="262"/>
      <c r="J871" s="262"/>
      <c r="K871" s="262"/>
      <c r="L871" s="262"/>
      <c r="M871" s="262"/>
      <c r="N871" s="263"/>
    </row>
    <row r="872" spans="1:14" ht="30" customHeight="1">
      <c r="A872" s="258" t="s">
        <v>1148</v>
      </c>
      <c r="B872" s="946" t="s">
        <v>1133</v>
      </c>
      <c r="C872" s="946"/>
      <c r="D872" s="946"/>
      <c r="E872" s="946"/>
      <c r="F872" s="946"/>
      <c r="G872" s="946"/>
      <c r="H872" s="946"/>
      <c r="I872" s="946"/>
      <c r="J872" s="946"/>
      <c r="K872" s="946"/>
      <c r="L872" s="946"/>
      <c r="M872" s="259"/>
      <c r="N872" s="260" t="s">
        <v>1149</v>
      </c>
    </row>
    <row r="873" spans="1:14">
      <c r="A873" s="245"/>
      <c r="B873" s="112"/>
      <c r="C873" s="112"/>
      <c r="D873" s="112"/>
      <c r="E873" s="112"/>
      <c r="F873" s="112"/>
      <c r="G873" s="112"/>
      <c r="H873" s="335"/>
      <c r="I873" s="112"/>
      <c r="J873" s="112"/>
      <c r="K873" s="112"/>
      <c r="L873" s="112"/>
      <c r="M873" s="112"/>
      <c r="N873" s="246"/>
    </row>
    <row r="874" spans="1:14">
      <c r="A874" s="245"/>
      <c r="B874" s="112"/>
      <c r="C874" s="112"/>
      <c r="D874" s="112"/>
      <c r="E874" s="112"/>
      <c r="F874" s="112"/>
      <c r="G874" s="112"/>
      <c r="H874" s="335"/>
      <c r="I874" s="112"/>
      <c r="J874" s="112"/>
      <c r="K874" s="112"/>
      <c r="L874" s="112"/>
      <c r="M874" s="112"/>
      <c r="N874" s="246"/>
    </row>
    <row r="875" spans="1:14">
      <c r="A875" s="245"/>
      <c r="B875" s="112"/>
      <c r="C875" s="112"/>
      <c r="D875" s="112"/>
      <c r="E875" s="112"/>
      <c r="F875" s="112"/>
      <c r="G875" s="112"/>
      <c r="H875" s="335"/>
      <c r="I875" s="112"/>
      <c r="J875" s="112"/>
      <c r="K875" s="112"/>
      <c r="L875" s="112"/>
      <c r="M875" s="112"/>
      <c r="N875" s="246"/>
    </row>
    <row r="876" spans="1:14">
      <c r="A876" s="245"/>
      <c r="B876" s="112"/>
      <c r="C876" s="112"/>
      <c r="D876" s="244"/>
      <c r="E876" s="244"/>
      <c r="F876" s="244"/>
      <c r="G876" s="244"/>
      <c r="H876" s="336"/>
      <c r="I876" s="244"/>
      <c r="J876" s="244"/>
      <c r="K876" s="244"/>
      <c r="L876" s="112"/>
      <c r="M876" s="112"/>
      <c r="N876" s="246"/>
    </row>
    <row r="877" spans="1:14">
      <c r="A877" s="245"/>
      <c r="B877" s="112"/>
      <c r="C877" s="112"/>
      <c r="D877" s="244"/>
      <c r="E877" s="244"/>
      <c r="F877" s="244"/>
      <c r="G877" s="244"/>
      <c r="H877" s="336"/>
      <c r="I877" s="244"/>
      <c r="J877" s="244"/>
      <c r="K877" s="244"/>
      <c r="L877" s="112"/>
      <c r="M877" s="112"/>
      <c r="N877" s="246"/>
    </row>
    <row r="878" spans="1:14">
      <c r="A878" s="245"/>
      <c r="B878" s="112"/>
      <c r="C878" s="112"/>
      <c r="D878" s="112"/>
      <c r="E878" s="112"/>
      <c r="F878" s="112"/>
      <c r="G878" s="112"/>
      <c r="H878" s="335"/>
      <c r="I878" s="112"/>
      <c r="J878" s="112"/>
      <c r="K878" s="112"/>
      <c r="L878" s="112"/>
      <c r="M878" s="112"/>
      <c r="N878" s="246"/>
    </row>
    <row r="879" spans="1:14">
      <c r="A879" s="245"/>
      <c r="B879" s="112"/>
      <c r="C879" s="112"/>
      <c r="D879" s="112"/>
      <c r="E879" s="112"/>
      <c r="F879" s="112"/>
      <c r="G879" s="112"/>
      <c r="H879" s="335"/>
      <c r="I879" s="112"/>
      <c r="J879" s="112"/>
      <c r="K879" s="112"/>
      <c r="L879" s="112"/>
      <c r="M879" s="112"/>
      <c r="N879" s="246"/>
    </row>
    <row r="880" spans="1:14">
      <c r="A880" s="245"/>
      <c r="B880" s="112"/>
      <c r="C880" s="112"/>
      <c r="D880" s="112"/>
      <c r="E880" s="112"/>
      <c r="F880" s="112"/>
      <c r="G880" s="112"/>
      <c r="H880" s="335"/>
      <c r="I880" s="112"/>
      <c r="J880" s="112"/>
      <c r="K880" s="112"/>
      <c r="L880" s="112"/>
      <c r="M880" s="112"/>
      <c r="N880" s="246"/>
    </row>
    <row r="881" spans="1:14">
      <c r="A881" s="245"/>
      <c r="B881" s="112"/>
      <c r="C881" s="112"/>
      <c r="D881" s="112"/>
      <c r="E881" s="112"/>
      <c r="F881" s="112"/>
      <c r="G881" s="112"/>
      <c r="H881" s="335"/>
      <c r="I881" s="112"/>
      <c r="J881" s="112"/>
      <c r="K881" s="112"/>
      <c r="L881" s="112"/>
      <c r="M881" s="112"/>
      <c r="N881" s="246"/>
    </row>
    <row r="882" spans="1:14">
      <c r="A882" s="245"/>
      <c r="B882" s="112"/>
      <c r="C882" s="112"/>
      <c r="D882" s="112"/>
      <c r="E882" s="112"/>
      <c r="F882" s="112"/>
      <c r="G882" s="112"/>
      <c r="H882" s="335"/>
      <c r="I882" s="112"/>
      <c r="J882" s="112"/>
      <c r="K882" s="112"/>
      <c r="L882" s="112"/>
      <c r="M882" s="112"/>
      <c r="N882" s="246"/>
    </row>
    <row r="883" spans="1:14">
      <c r="A883" s="245"/>
      <c r="B883" s="112"/>
      <c r="C883" s="112"/>
      <c r="D883" s="112"/>
      <c r="E883" s="112"/>
      <c r="F883" s="112"/>
      <c r="G883" s="112"/>
      <c r="H883" s="335"/>
      <c r="I883" s="112"/>
      <c r="J883" s="112"/>
      <c r="K883" s="112"/>
      <c r="L883" s="112"/>
      <c r="M883" s="112"/>
      <c r="N883" s="246"/>
    </row>
    <row r="884" spans="1:14">
      <c r="A884" s="245"/>
      <c r="B884" s="112"/>
      <c r="C884" s="112"/>
      <c r="D884" s="112"/>
      <c r="E884" s="112"/>
      <c r="F884" s="112"/>
      <c r="G884" s="112"/>
      <c r="H884" s="335"/>
      <c r="I884" s="112"/>
      <c r="J884" s="112"/>
      <c r="K884" s="112"/>
      <c r="L884" s="112"/>
      <c r="M884" s="112"/>
      <c r="N884" s="246"/>
    </row>
    <row r="885" spans="1:14">
      <c r="A885" s="245"/>
      <c r="B885" s="112"/>
      <c r="C885" s="112"/>
      <c r="D885" s="112"/>
      <c r="E885" s="112"/>
      <c r="F885" s="112"/>
      <c r="G885" s="112"/>
      <c r="H885" s="335"/>
      <c r="I885" s="112"/>
      <c r="J885" s="112"/>
      <c r="K885" s="112"/>
      <c r="L885" s="112"/>
      <c r="M885" s="112"/>
      <c r="N885" s="246"/>
    </row>
    <row r="886" spans="1:14">
      <c r="A886" s="245"/>
      <c r="B886" s="112"/>
      <c r="C886" s="112"/>
      <c r="D886" s="112"/>
      <c r="E886" s="112"/>
      <c r="F886" s="112"/>
      <c r="G886" s="112"/>
      <c r="H886" s="335"/>
      <c r="I886" s="112"/>
      <c r="J886" s="112"/>
      <c r="K886" s="112"/>
      <c r="L886" s="112"/>
      <c r="M886" s="112"/>
      <c r="N886" s="246"/>
    </row>
    <row r="887" spans="1:14">
      <c r="A887" s="245"/>
      <c r="B887" s="112"/>
      <c r="C887" s="112"/>
      <c r="D887" s="112"/>
      <c r="E887" s="112"/>
      <c r="F887" s="112"/>
      <c r="G887" s="112"/>
      <c r="H887" s="335"/>
      <c r="I887" s="112"/>
      <c r="J887" s="112"/>
      <c r="K887" s="112"/>
      <c r="L887" s="112"/>
      <c r="M887" s="112"/>
      <c r="N887" s="246"/>
    </row>
    <row r="888" spans="1:14">
      <c r="A888" s="245"/>
      <c r="B888" s="112"/>
      <c r="C888" s="112"/>
      <c r="D888" s="112"/>
      <c r="E888" s="112"/>
      <c r="F888" s="112"/>
      <c r="G888" s="112"/>
      <c r="H888" s="335"/>
      <c r="I888" s="112"/>
      <c r="J888" s="112"/>
      <c r="K888" s="112"/>
      <c r="L888" s="112"/>
      <c r="M888" s="112"/>
      <c r="N888" s="246"/>
    </row>
    <row r="889" spans="1:14">
      <c r="A889" s="245"/>
      <c r="B889" s="112"/>
      <c r="C889" s="112"/>
      <c r="D889" s="112"/>
      <c r="E889" s="112"/>
      <c r="F889" s="112"/>
      <c r="G889" s="112"/>
      <c r="H889" s="335"/>
      <c r="I889" s="112"/>
      <c r="J889" s="112"/>
      <c r="K889" s="112"/>
      <c r="L889" s="112"/>
      <c r="M889" s="112"/>
      <c r="N889" s="246"/>
    </row>
    <row r="890" spans="1:14">
      <c r="A890" s="245"/>
      <c r="B890" s="112"/>
      <c r="C890" s="112"/>
      <c r="D890" s="112"/>
      <c r="E890" s="112"/>
      <c r="F890" s="112"/>
      <c r="G890" s="112"/>
      <c r="H890" s="335"/>
      <c r="I890" s="112"/>
      <c r="J890" s="112"/>
      <c r="K890" s="112"/>
      <c r="L890" s="112"/>
      <c r="M890" s="112"/>
      <c r="N890" s="246"/>
    </row>
    <row r="891" spans="1:14">
      <c r="A891" s="245"/>
      <c r="B891" s="112"/>
      <c r="C891" s="112"/>
      <c r="D891" s="112"/>
      <c r="E891" s="112"/>
      <c r="F891" s="112"/>
      <c r="G891" s="112"/>
      <c r="H891" s="335"/>
      <c r="I891" s="112"/>
      <c r="J891" s="112"/>
      <c r="K891" s="112"/>
      <c r="L891" s="112"/>
      <c r="M891" s="112"/>
      <c r="N891" s="246"/>
    </row>
    <row r="892" spans="1:14">
      <c r="A892" s="245"/>
      <c r="B892" s="112"/>
      <c r="C892" s="112"/>
      <c r="D892" s="112"/>
      <c r="E892" s="112"/>
      <c r="F892" s="112"/>
      <c r="G892" s="112"/>
      <c r="H892" s="335"/>
      <c r="I892" s="112"/>
      <c r="J892" s="112"/>
      <c r="K892" s="112"/>
      <c r="L892" s="112"/>
      <c r="M892" s="112"/>
      <c r="N892" s="246"/>
    </row>
    <row r="893" spans="1:14">
      <c r="A893" s="245"/>
      <c r="B893" s="112"/>
      <c r="C893" s="112"/>
      <c r="D893" s="112"/>
      <c r="E893" s="112"/>
      <c r="F893" s="112"/>
      <c r="G893" s="112"/>
      <c r="H893" s="335"/>
      <c r="I893" s="112"/>
      <c r="J893" s="112"/>
      <c r="K893" s="112"/>
      <c r="L893" s="112"/>
      <c r="M893" s="112"/>
      <c r="N893" s="246"/>
    </row>
    <row r="894" spans="1:14">
      <c r="A894" s="245"/>
      <c r="B894" s="112"/>
      <c r="C894" s="112"/>
      <c r="D894" s="112"/>
      <c r="E894" s="112"/>
      <c r="F894" s="112"/>
      <c r="G894" s="112"/>
      <c r="H894" s="335"/>
      <c r="I894" s="112"/>
      <c r="J894" s="112"/>
      <c r="K894" s="112"/>
      <c r="L894" s="112"/>
      <c r="M894" s="112"/>
      <c r="N894" s="246"/>
    </row>
    <row r="895" spans="1:14">
      <c r="A895" s="245"/>
      <c r="B895" s="112"/>
      <c r="C895" s="112"/>
      <c r="D895" s="112"/>
      <c r="E895" s="112"/>
      <c r="F895" s="112"/>
      <c r="G895" s="112"/>
      <c r="H895" s="335"/>
      <c r="I895" s="112"/>
      <c r="J895" s="112"/>
      <c r="K895" s="112"/>
      <c r="L895" s="112"/>
      <c r="M895" s="112"/>
      <c r="N895" s="246"/>
    </row>
    <row r="896" spans="1:14">
      <c r="A896" s="245"/>
      <c r="B896" s="112"/>
      <c r="C896" s="112"/>
      <c r="D896" s="112"/>
      <c r="E896" s="112"/>
      <c r="F896" s="112"/>
      <c r="G896" s="112"/>
      <c r="H896" s="335"/>
      <c r="I896" s="112"/>
      <c r="J896" s="112"/>
      <c r="K896" s="112"/>
      <c r="L896" s="112"/>
      <c r="M896" s="112"/>
      <c r="N896" s="246"/>
    </row>
    <row r="897" spans="1:14">
      <c r="A897" s="245"/>
      <c r="B897" s="112"/>
      <c r="C897" s="112"/>
      <c r="D897" s="112"/>
      <c r="E897" s="112"/>
      <c r="F897" s="112"/>
      <c r="G897" s="112"/>
      <c r="H897" s="335"/>
      <c r="I897" s="112"/>
      <c r="J897" s="112"/>
      <c r="K897" s="112"/>
      <c r="L897" s="112"/>
      <c r="M897" s="112"/>
      <c r="N897" s="246"/>
    </row>
    <row r="898" spans="1:14">
      <c r="A898" s="245"/>
      <c r="B898" s="112"/>
      <c r="C898" s="112"/>
      <c r="D898" s="112"/>
      <c r="E898" s="112"/>
      <c r="F898" s="112"/>
      <c r="G898" s="112"/>
      <c r="H898" s="335"/>
      <c r="I898" s="112"/>
      <c r="J898" s="112"/>
      <c r="K898" s="112"/>
      <c r="L898" s="112"/>
      <c r="M898" s="112"/>
      <c r="N898" s="246"/>
    </row>
    <row r="899" spans="1:14">
      <c r="A899" s="245"/>
      <c r="B899" s="112"/>
      <c r="C899" s="112"/>
      <c r="D899" s="112"/>
      <c r="E899" s="112"/>
      <c r="F899" s="112"/>
      <c r="G899" s="112"/>
      <c r="H899" s="335"/>
      <c r="I899" s="112"/>
      <c r="J899" s="112"/>
      <c r="K899" s="112"/>
      <c r="L899" s="112"/>
      <c r="M899" s="112"/>
      <c r="N899" s="246"/>
    </row>
    <row r="900" spans="1:14">
      <c r="A900" s="245"/>
      <c r="B900" s="112"/>
      <c r="C900" s="112"/>
      <c r="D900" s="112"/>
      <c r="E900" s="112"/>
      <c r="F900" s="112"/>
      <c r="G900" s="112"/>
      <c r="H900" s="335"/>
      <c r="I900" s="112"/>
      <c r="J900" s="112"/>
      <c r="K900" s="112"/>
      <c r="L900" s="112"/>
      <c r="M900" s="112"/>
      <c r="N900" s="246"/>
    </row>
    <row r="901" spans="1:14">
      <c r="A901" s="245"/>
      <c r="B901" s="112"/>
      <c r="C901" s="112"/>
      <c r="D901" s="112"/>
      <c r="E901" s="112"/>
      <c r="F901" s="112"/>
      <c r="G901" s="112"/>
      <c r="H901" s="335"/>
      <c r="I901" s="112"/>
      <c r="J901" s="112"/>
      <c r="K901" s="112"/>
      <c r="L901" s="112"/>
      <c r="M901" s="112"/>
      <c r="N901" s="246"/>
    </row>
    <row r="902" spans="1:14">
      <c r="A902" s="245"/>
      <c r="B902" s="112"/>
      <c r="C902" s="112"/>
      <c r="D902" s="112"/>
      <c r="E902" s="112"/>
      <c r="F902" s="112"/>
      <c r="G902" s="112"/>
      <c r="H902" s="335"/>
      <c r="I902" s="112"/>
      <c r="J902" s="112"/>
      <c r="K902" s="112"/>
      <c r="L902" s="112"/>
      <c r="M902" s="112"/>
      <c r="N902" s="246"/>
    </row>
    <row r="903" spans="1:14">
      <c r="A903" s="245"/>
      <c r="B903" s="112"/>
      <c r="C903" s="112"/>
      <c r="D903" s="112"/>
      <c r="E903" s="112"/>
      <c r="F903" s="112"/>
      <c r="G903" s="112"/>
      <c r="H903" s="335"/>
      <c r="I903" s="112"/>
      <c r="J903" s="112"/>
      <c r="K903" s="112"/>
      <c r="L903" s="112"/>
      <c r="M903" s="112"/>
      <c r="N903" s="246"/>
    </row>
    <row r="904" spans="1:14">
      <c r="A904" s="245"/>
      <c r="B904" s="112"/>
      <c r="C904" s="112"/>
      <c r="D904" s="112"/>
      <c r="E904" s="112"/>
      <c r="F904" s="112"/>
      <c r="G904" s="112"/>
      <c r="H904" s="335"/>
      <c r="I904" s="112"/>
      <c r="J904" s="112"/>
      <c r="K904" s="112"/>
      <c r="L904" s="112"/>
      <c r="M904" s="112"/>
      <c r="N904" s="246"/>
    </row>
    <row r="905" spans="1:14">
      <c r="A905" s="245"/>
      <c r="B905" s="112"/>
      <c r="C905" s="112"/>
      <c r="D905" s="112"/>
      <c r="E905" s="112"/>
      <c r="F905" s="112"/>
      <c r="G905" s="112"/>
      <c r="H905" s="335"/>
      <c r="I905" s="112"/>
      <c r="J905" s="112"/>
      <c r="K905" s="112"/>
      <c r="L905" s="112"/>
      <c r="M905" s="112"/>
      <c r="N905" s="246"/>
    </row>
    <row r="906" spans="1:14">
      <c r="A906" s="245"/>
      <c r="B906" s="112"/>
      <c r="C906" s="112"/>
      <c r="D906" s="112"/>
      <c r="E906" s="112"/>
      <c r="F906" s="112"/>
      <c r="G906" s="112"/>
      <c r="H906" s="335"/>
      <c r="I906" s="112"/>
      <c r="J906" s="112"/>
      <c r="K906" s="112"/>
      <c r="L906" s="112"/>
      <c r="M906" s="112"/>
      <c r="N906" s="246"/>
    </row>
    <row r="907" spans="1:14">
      <c r="A907" s="245"/>
      <c r="B907" s="112"/>
      <c r="C907" s="112"/>
      <c r="D907" s="112"/>
      <c r="E907" s="112"/>
      <c r="F907" s="112"/>
      <c r="G907" s="112"/>
      <c r="H907" s="335"/>
      <c r="I907" s="112"/>
      <c r="J907" s="112"/>
      <c r="K907" s="112"/>
      <c r="L907" s="112"/>
      <c r="M907" s="112"/>
      <c r="N907" s="246"/>
    </row>
    <row r="908" spans="1:14">
      <c r="A908" s="245"/>
      <c r="B908" s="112"/>
      <c r="C908" s="112"/>
      <c r="D908" s="112"/>
      <c r="E908" s="112"/>
      <c r="F908" s="112"/>
      <c r="G908" s="112"/>
      <c r="H908" s="335"/>
      <c r="I908" s="112"/>
      <c r="J908" s="112"/>
      <c r="K908" s="112"/>
      <c r="L908" s="112"/>
      <c r="M908" s="112"/>
      <c r="N908" s="246"/>
    </row>
    <row r="909" spans="1:14">
      <c r="A909" s="245"/>
      <c r="B909" s="112"/>
      <c r="C909" s="112"/>
      <c r="D909" s="112"/>
      <c r="E909" s="112"/>
      <c r="F909" s="112"/>
      <c r="G909" s="112"/>
      <c r="H909" s="335"/>
      <c r="I909" s="112"/>
      <c r="J909" s="112"/>
      <c r="K909" s="112"/>
      <c r="L909" s="112"/>
      <c r="M909" s="112"/>
      <c r="N909" s="246"/>
    </row>
    <row r="910" spans="1:14">
      <c r="A910" s="245"/>
      <c r="B910" s="112"/>
      <c r="C910" s="112"/>
      <c r="D910" s="112"/>
      <c r="E910" s="112"/>
      <c r="F910" s="112"/>
      <c r="G910" s="112"/>
      <c r="H910" s="335"/>
      <c r="I910" s="112"/>
      <c r="J910" s="112"/>
      <c r="K910" s="112"/>
      <c r="L910" s="112"/>
      <c r="M910" s="112"/>
      <c r="N910" s="246"/>
    </row>
    <row r="911" spans="1:14">
      <c r="A911" s="245"/>
      <c r="B911" s="112"/>
      <c r="C911" s="112"/>
      <c r="D911" s="112"/>
      <c r="E911" s="112"/>
      <c r="F911" s="112"/>
      <c r="G911" s="112"/>
      <c r="H911" s="335"/>
      <c r="I911" s="112"/>
      <c r="J911" s="112"/>
      <c r="K911" s="112"/>
      <c r="L911" s="112"/>
      <c r="M911" s="112"/>
      <c r="N911" s="246"/>
    </row>
    <row r="912" spans="1:14">
      <c r="A912" s="245"/>
      <c r="B912" s="112"/>
      <c r="C912" s="112"/>
      <c r="D912" s="112"/>
      <c r="E912" s="112"/>
      <c r="F912" s="112"/>
      <c r="G912" s="112"/>
      <c r="H912" s="335"/>
      <c r="I912" s="112"/>
      <c r="J912" s="112"/>
      <c r="K912" s="112"/>
      <c r="L912" s="112"/>
      <c r="M912" s="112"/>
      <c r="N912" s="246"/>
    </row>
    <row r="913" spans="1:14">
      <c r="A913" s="245"/>
      <c r="B913" s="112"/>
      <c r="C913" s="112"/>
      <c r="D913" s="112"/>
      <c r="E913" s="112"/>
      <c r="F913" s="112"/>
      <c r="G913" s="112"/>
      <c r="H913" s="335"/>
      <c r="I913" s="112"/>
      <c r="J913" s="112"/>
      <c r="K913" s="112"/>
      <c r="L913" s="112"/>
      <c r="M913" s="112"/>
      <c r="N913" s="246"/>
    </row>
    <row r="914" spans="1:14">
      <c r="A914" s="245"/>
      <c r="B914" s="112"/>
      <c r="C914" s="112"/>
      <c r="D914" s="112"/>
      <c r="E914" s="112"/>
      <c r="F914" s="112"/>
      <c r="G914" s="112"/>
      <c r="H914" s="335"/>
      <c r="I914" s="112"/>
      <c r="J914" s="112"/>
      <c r="K914" s="112"/>
      <c r="L914" s="112"/>
      <c r="M914" s="112"/>
      <c r="N914" s="246"/>
    </row>
    <row r="915" spans="1:14">
      <c r="A915" s="245"/>
      <c r="B915" s="112"/>
      <c r="C915" s="112"/>
      <c r="D915" s="112"/>
      <c r="E915" s="112"/>
      <c r="F915" s="112"/>
      <c r="G915" s="112"/>
      <c r="H915" s="335"/>
      <c r="I915" s="112"/>
      <c r="J915" s="112"/>
      <c r="K915" s="112"/>
      <c r="L915" s="112"/>
      <c r="M915" s="112"/>
      <c r="N915" s="246"/>
    </row>
    <row r="916" spans="1:14">
      <c r="A916" s="245"/>
      <c r="B916" s="112"/>
      <c r="C916" s="112"/>
      <c r="D916" s="112"/>
      <c r="E916" s="112"/>
      <c r="F916" s="112"/>
      <c r="G916" s="112"/>
      <c r="H916" s="335"/>
      <c r="I916" s="112"/>
      <c r="J916" s="112"/>
      <c r="K916" s="112"/>
      <c r="L916" s="112"/>
      <c r="M916" s="112"/>
      <c r="N916" s="246"/>
    </row>
    <row r="917" spans="1:14">
      <c r="A917" s="245"/>
      <c r="B917" s="112"/>
      <c r="C917" s="112"/>
      <c r="D917" s="112"/>
      <c r="E917" s="112"/>
      <c r="F917" s="112"/>
      <c r="G917" s="112"/>
      <c r="H917" s="335"/>
      <c r="I917" s="112"/>
      <c r="J917" s="112"/>
      <c r="K917" s="112"/>
      <c r="L917" s="112"/>
      <c r="M917" s="112"/>
      <c r="N917" s="246"/>
    </row>
    <row r="918" spans="1:14">
      <c r="A918" s="247"/>
      <c r="B918" s="248"/>
      <c r="C918" s="248"/>
      <c r="D918" s="248"/>
      <c r="E918" s="248"/>
      <c r="F918" s="248"/>
      <c r="G918" s="248"/>
      <c r="H918" s="338"/>
      <c r="I918" s="248"/>
      <c r="J918" s="248"/>
      <c r="K918" s="248"/>
      <c r="L918" s="248"/>
      <c r="M918" s="248"/>
      <c r="N918" s="249"/>
    </row>
    <row r="919" spans="1:14" ht="30" customHeight="1">
      <c r="A919" s="258" t="s">
        <v>1148</v>
      </c>
      <c r="B919" s="946" t="s">
        <v>1199</v>
      </c>
      <c r="C919" s="946"/>
      <c r="D919" s="946"/>
      <c r="E919" s="946"/>
      <c r="F919" s="946"/>
      <c r="G919" s="946"/>
      <c r="H919" s="946"/>
      <c r="I919" s="946"/>
      <c r="J919" s="946"/>
      <c r="K919" s="946"/>
      <c r="L919" s="946"/>
      <c r="M919" s="259"/>
      <c r="N919" s="260" t="s">
        <v>1149</v>
      </c>
    </row>
    <row r="920" spans="1:14">
      <c r="A920" s="253"/>
      <c r="B920" s="28"/>
      <c r="C920" s="28"/>
      <c r="D920" s="28"/>
      <c r="E920" s="28"/>
      <c r="F920" s="28"/>
      <c r="G920" s="28"/>
      <c r="H920" s="322"/>
      <c r="I920" s="28"/>
      <c r="J920" s="28"/>
      <c r="K920" s="28"/>
      <c r="L920" s="28"/>
      <c r="M920" s="28"/>
      <c r="N920" s="254"/>
    </row>
    <row r="921" spans="1:14">
      <c r="A921" s="253"/>
      <c r="B921" s="28"/>
      <c r="C921" s="28"/>
      <c r="D921" s="28"/>
      <c r="E921" s="28"/>
      <c r="F921" s="28"/>
      <c r="G921" s="28"/>
      <c r="H921" s="322"/>
      <c r="I921" s="28"/>
      <c r="J921" s="28"/>
      <c r="K921" s="28"/>
      <c r="L921" s="28"/>
      <c r="M921" s="28"/>
      <c r="N921" s="254"/>
    </row>
    <row r="922" spans="1:14">
      <c r="A922" s="253"/>
      <c r="B922" s="28"/>
      <c r="C922" s="28"/>
      <c r="D922" s="28"/>
      <c r="E922" s="28"/>
      <c r="F922" s="28"/>
      <c r="G922" s="28"/>
      <c r="H922" s="322"/>
      <c r="I922" s="28"/>
      <c r="J922" s="28"/>
      <c r="K922" s="28"/>
      <c r="L922" s="28"/>
      <c r="M922" s="28"/>
      <c r="N922" s="254"/>
    </row>
    <row r="923" spans="1:14">
      <c r="A923" s="253"/>
      <c r="B923" s="28"/>
      <c r="C923" s="28"/>
      <c r="D923" s="28"/>
      <c r="E923" s="28"/>
      <c r="F923" s="28"/>
      <c r="G923" s="28"/>
      <c r="H923" s="322"/>
      <c r="I923" s="28"/>
      <c r="J923" s="28"/>
      <c r="K923" s="28"/>
      <c r="L923" s="28"/>
      <c r="M923" s="28"/>
      <c r="N923" s="254"/>
    </row>
    <row r="924" spans="1:14">
      <c r="A924" s="253"/>
      <c r="B924" s="28"/>
      <c r="C924" s="28"/>
      <c r="D924" s="28"/>
      <c r="E924" s="28"/>
      <c r="F924" s="28"/>
      <c r="G924" s="28"/>
      <c r="H924" s="322"/>
      <c r="I924" s="28"/>
      <c r="J924" s="28"/>
      <c r="K924" s="28"/>
      <c r="L924" s="28"/>
      <c r="M924" s="28"/>
      <c r="N924" s="254"/>
    </row>
    <row r="925" spans="1:14">
      <c r="A925" s="253"/>
      <c r="B925" s="28"/>
      <c r="C925" s="28"/>
      <c r="D925" s="28"/>
      <c r="E925" s="28"/>
      <c r="F925" s="28"/>
      <c r="G925" s="28"/>
      <c r="H925" s="322"/>
      <c r="I925" s="28"/>
      <c r="J925" s="28"/>
      <c r="K925" s="28"/>
      <c r="L925" s="28"/>
      <c r="M925" s="28"/>
      <c r="N925" s="254"/>
    </row>
    <row r="926" spans="1:14">
      <c r="A926" s="253"/>
      <c r="B926" s="28"/>
      <c r="C926" s="28"/>
      <c r="D926" s="28"/>
      <c r="E926" s="28"/>
      <c r="F926" s="28"/>
      <c r="G926" s="28"/>
      <c r="H926" s="322"/>
      <c r="I926" s="28"/>
      <c r="J926" s="28"/>
      <c r="K926" s="28"/>
      <c r="L926" s="28"/>
      <c r="M926" s="28"/>
      <c r="N926" s="254"/>
    </row>
    <row r="927" spans="1:14">
      <c r="A927" s="253"/>
      <c r="B927" s="28"/>
      <c r="C927" s="28"/>
      <c r="D927" s="28"/>
      <c r="E927" s="28"/>
      <c r="F927" s="28"/>
      <c r="G927" s="28"/>
      <c r="H927" s="322"/>
      <c r="I927" s="28"/>
      <c r="J927" s="28"/>
      <c r="K927" s="28"/>
      <c r="L927" s="28"/>
      <c r="M927" s="28"/>
      <c r="N927" s="254"/>
    </row>
    <row r="928" spans="1:14">
      <c r="A928" s="253"/>
      <c r="B928" s="28"/>
      <c r="C928" s="28"/>
      <c r="D928" s="28"/>
      <c r="E928" s="28"/>
      <c r="F928" s="28"/>
      <c r="G928" s="28"/>
      <c r="H928" s="322"/>
      <c r="I928" s="28"/>
      <c r="J928" s="28"/>
      <c r="K928" s="28"/>
      <c r="L928" s="28"/>
      <c r="M928" s="28"/>
      <c r="N928" s="254"/>
    </row>
    <row r="929" spans="1:14">
      <c r="A929" s="253"/>
      <c r="B929" s="28"/>
      <c r="C929" s="28"/>
      <c r="D929" s="28"/>
      <c r="E929" s="28"/>
      <c r="F929" s="28"/>
      <c r="G929" s="28"/>
      <c r="H929" s="322"/>
      <c r="I929" s="28"/>
      <c r="J929" s="28"/>
      <c r="K929" s="28"/>
      <c r="L929" s="28"/>
      <c r="M929" s="28"/>
      <c r="N929" s="254"/>
    </row>
    <row r="930" spans="1:14">
      <c r="A930" s="253"/>
      <c r="B930" s="28"/>
      <c r="C930" s="28"/>
      <c r="D930" s="28"/>
      <c r="E930" s="28"/>
      <c r="F930" s="28"/>
      <c r="G930" s="28"/>
      <c r="H930" s="322"/>
      <c r="I930" s="28"/>
      <c r="J930" s="28"/>
      <c r="K930" s="28"/>
      <c r="L930" s="28"/>
      <c r="M930" s="28"/>
      <c r="N930" s="254"/>
    </row>
    <row r="931" spans="1:14">
      <c r="A931" s="253"/>
      <c r="B931" s="28"/>
      <c r="C931" s="28"/>
      <c r="D931" s="28"/>
      <c r="E931" s="28"/>
      <c r="F931" s="28"/>
      <c r="G931" s="28"/>
      <c r="H931" s="322"/>
      <c r="I931" s="28"/>
      <c r="J931" s="28"/>
      <c r="K931" s="28"/>
      <c r="L931" s="28"/>
      <c r="M931" s="28"/>
      <c r="N931" s="254"/>
    </row>
    <row r="932" spans="1:14">
      <c r="A932" s="253"/>
      <c r="B932" s="28"/>
      <c r="C932" s="28"/>
      <c r="D932" s="28"/>
      <c r="E932" s="28"/>
      <c r="F932" s="28"/>
      <c r="G932" s="28"/>
      <c r="H932" s="322"/>
      <c r="I932" s="28"/>
      <c r="J932" s="28"/>
      <c r="K932" s="28"/>
      <c r="L932" s="28"/>
      <c r="M932" s="28"/>
      <c r="N932" s="254"/>
    </row>
    <row r="933" spans="1:14">
      <c r="A933" s="253"/>
      <c r="B933" s="28"/>
      <c r="C933" s="28"/>
      <c r="D933" s="28"/>
      <c r="E933" s="28"/>
      <c r="F933" s="28"/>
      <c r="G933" s="28"/>
      <c r="H933" s="322"/>
      <c r="I933" s="28"/>
      <c r="J933" s="28"/>
      <c r="K933" s="28"/>
      <c r="L933" s="28"/>
      <c r="M933" s="28"/>
      <c r="N933" s="254"/>
    </row>
    <row r="934" spans="1:14">
      <c r="A934" s="253"/>
      <c r="B934" s="28"/>
      <c r="C934" s="28"/>
      <c r="D934" s="28"/>
      <c r="E934" s="28"/>
      <c r="F934" s="28"/>
      <c r="G934" s="28"/>
      <c r="H934" s="322"/>
      <c r="I934" s="28"/>
      <c r="J934" s="28"/>
      <c r="K934" s="28"/>
      <c r="L934" s="28"/>
      <c r="M934" s="28"/>
      <c r="N934" s="254"/>
    </row>
    <row r="935" spans="1:14">
      <c r="A935" s="253"/>
      <c r="B935" s="28"/>
      <c r="C935" s="28"/>
      <c r="D935" s="28"/>
      <c r="E935" s="28"/>
      <c r="F935" s="28"/>
      <c r="G935" s="28"/>
      <c r="H935" s="322"/>
      <c r="I935" s="28"/>
      <c r="J935" s="28"/>
      <c r="K935" s="28"/>
      <c r="L935" s="28"/>
      <c r="M935" s="28"/>
      <c r="N935" s="254"/>
    </row>
    <row r="936" spans="1:14">
      <c r="A936" s="253"/>
      <c r="B936" s="28"/>
      <c r="C936" s="28"/>
      <c r="D936" s="28"/>
      <c r="E936" s="28"/>
      <c r="F936" s="28"/>
      <c r="G936" s="28"/>
      <c r="H936" s="322"/>
      <c r="I936" s="28"/>
      <c r="J936" s="28"/>
      <c r="K936" s="28"/>
      <c r="L936" s="28"/>
      <c r="M936" s="28"/>
      <c r="N936" s="254"/>
    </row>
    <row r="937" spans="1:14">
      <c r="A937" s="253"/>
      <c r="B937" s="28"/>
      <c r="C937" s="28"/>
      <c r="D937" s="28"/>
      <c r="E937" s="28"/>
      <c r="F937" s="28"/>
      <c r="G937" s="28"/>
      <c r="H937" s="322"/>
      <c r="I937" s="28"/>
      <c r="J937" s="28"/>
      <c r="K937" s="28"/>
      <c r="L937" s="28"/>
      <c r="M937" s="28"/>
      <c r="N937" s="254"/>
    </row>
    <row r="938" spans="1:14">
      <c r="A938" s="253"/>
      <c r="B938" s="28"/>
      <c r="C938" s="28"/>
      <c r="D938" s="28"/>
      <c r="E938" s="28"/>
      <c r="F938" s="28"/>
      <c r="G938" s="28"/>
      <c r="H938" s="322"/>
      <c r="I938" s="28"/>
      <c r="J938" s="28"/>
      <c r="K938" s="28"/>
      <c r="L938" s="28"/>
      <c r="M938" s="28"/>
      <c r="N938" s="254"/>
    </row>
    <row r="939" spans="1:14">
      <c r="A939" s="253"/>
      <c r="B939" s="28"/>
      <c r="C939" s="28"/>
      <c r="D939" s="28"/>
      <c r="E939" s="28"/>
      <c r="F939" s="28"/>
      <c r="G939" s="28"/>
      <c r="H939" s="322"/>
      <c r="I939" s="28"/>
      <c r="J939" s="28"/>
      <c r="K939" s="28"/>
      <c r="L939" s="28"/>
      <c r="M939" s="28"/>
      <c r="N939" s="254"/>
    </row>
    <row r="940" spans="1:14">
      <c r="A940" s="253"/>
      <c r="B940" s="28"/>
      <c r="C940" s="28"/>
      <c r="D940" s="28"/>
      <c r="E940" s="28"/>
      <c r="F940" s="28"/>
      <c r="G940" s="28"/>
      <c r="H940" s="322"/>
      <c r="I940" s="28"/>
      <c r="J940" s="28"/>
      <c r="K940" s="28"/>
      <c r="L940" s="28"/>
      <c r="M940" s="28"/>
      <c r="N940" s="254"/>
    </row>
    <row r="941" spans="1:14">
      <c r="A941" s="253"/>
      <c r="B941" s="28"/>
      <c r="C941" s="28"/>
      <c r="D941" s="28"/>
      <c r="E941" s="28"/>
      <c r="F941" s="28"/>
      <c r="G941" s="28"/>
      <c r="H941" s="322"/>
      <c r="I941" s="28"/>
      <c r="J941" s="28"/>
      <c r="K941" s="28"/>
      <c r="L941" s="28"/>
      <c r="M941" s="28"/>
      <c r="N941" s="254"/>
    </row>
    <row r="942" spans="1:14">
      <c r="A942" s="253"/>
      <c r="B942" s="28"/>
      <c r="C942" s="28"/>
      <c r="D942" s="28"/>
      <c r="E942" s="28"/>
      <c r="F942" s="28"/>
      <c r="G942" s="28"/>
      <c r="H942" s="322"/>
      <c r="I942" s="28"/>
      <c r="J942" s="28"/>
      <c r="K942" s="28"/>
      <c r="L942" s="28"/>
      <c r="M942" s="28"/>
      <c r="N942" s="254"/>
    </row>
    <row r="943" spans="1:14">
      <c r="A943" s="253"/>
      <c r="B943" s="28"/>
      <c r="C943" s="28"/>
      <c r="D943" s="28"/>
      <c r="E943" s="28"/>
      <c r="F943" s="28"/>
      <c r="G943" s="28"/>
      <c r="H943" s="322"/>
      <c r="I943" s="28"/>
      <c r="J943" s="28"/>
      <c r="K943" s="28"/>
      <c r="L943" s="28"/>
      <c r="M943" s="28"/>
      <c r="N943" s="254"/>
    </row>
    <row r="944" spans="1:14">
      <c r="A944" s="253"/>
      <c r="B944" s="28"/>
      <c r="C944" s="28"/>
      <c r="D944" s="28"/>
      <c r="E944" s="28"/>
      <c r="F944" s="28"/>
      <c r="G944" s="28"/>
      <c r="H944" s="322"/>
      <c r="I944" s="28"/>
      <c r="J944" s="28"/>
      <c r="K944" s="28"/>
      <c r="L944" s="28"/>
      <c r="M944" s="28"/>
      <c r="N944" s="254"/>
    </row>
    <row r="945" spans="1:14">
      <c r="A945" s="253"/>
      <c r="B945" s="28"/>
      <c r="C945" s="28"/>
      <c r="D945" s="28"/>
      <c r="E945" s="28"/>
      <c r="F945" s="28"/>
      <c r="G945" s="28"/>
      <c r="H945" s="322"/>
      <c r="I945" s="28"/>
      <c r="J945" s="28"/>
      <c r="K945" s="28"/>
      <c r="L945" s="28"/>
      <c r="M945" s="28"/>
      <c r="N945" s="254"/>
    </row>
    <row r="946" spans="1:14">
      <c r="A946" s="253"/>
      <c r="B946" s="28"/>
      <c r="C946" s="28"/>
      <c r="D946" s="28"/>
      <c r="E946" s="28"/>
      <c r="F946" s="28"/>
      <c r="G946" s="28"/>
      <c r="H946" s="322"/>
      <c r="I946" s="28"/>
      <c r="J946" s="28"/>
      <c r="K946" s="28"/>
      <c r="L946" s="28"/>
      <c r="M946" s="28"/>
      <c r="N946" s="254"/>
    </row>
    <row r="947" spans="1:14">
      <c r="A947" s="253"/>
      <c r="B947" s="28"/>
      <c r="C947" s="28"/>
      <c r="D947" s="28"/>
      <c r="E947" s="28"/>
      <c r="F947" s="28"/>
      <c r="G947" s="28"/>
      <c r="H947" s="322"/>
      <c r="I947" s="28"/>
      <c r="J947" s="28"/>
      <c r="K947" s="28"/>
      <c r="L947" s="28"/>
      <c r="M947" s="28"/>
      <c r="N947" s="254"/>
    </row>
    <row r="948" spans="1:14">
      <c r="A948" s="253"/>
      <c r="B948" s="28"/>
      <c r="C948" s="28"/>
      <c r="D948" s="28"/>
      <c r="E948" s="28"/>
      <c r="F948" s="28"/>
      <c r="G948" s="28"/>
      <c r="H948" s="322"/>
      <c r="I948" s="28"/>
      <c r="J948" s="28"/>
      <c r="K948" s="28"/>
      <c r="L948" s="28"/>
      <c r="M948" s="28"/>
      <c r="N948" s="254"/>
    </row>
    <row r="949" spans="1:14">
      <c r="A949" s="253"/>
      <c r="B949" s="28"/>
      <c r="C949" s="28"/>
      <c r="D949" s="28"/>
      <c r="E949" s="28"/>
      <c r="F949" s="28"/>
      <c r="G949" s="28"/>
      <c r="H949" s="322"/>
      <c r="I949" s="28"/>
      <c r="J949" s="28"/>
      <c r="K949" s="28"/>
      <c r="L949" s="28"/>
      <c r="M949" s="28"/>
      <c r="N949" s="254"/>
    </row>
    <row r="950" spans="1:14">
      <c r="A950" s="253"/>
      <c r="B950" s="28"/>
      <c r="C950" s="28"/>
      <c r="D950" s="28"/>
      <c r="E950" s="28"/>
      <c r="F950" s="28"/>
      <c r="G950" s="28"/>
      <c r="H950" s="322"/>
      <c r="I950" s="28"/>
      <c r="J950" s="28"/>
      <c r="K950" s="28"/>
      <c r="L950" s="28"/>
      <c r="M950" s="28"/>
      <c r="N950" s="254"/>
    </row>
    <row r="951" spans="1:14">
      <c r="A951" s="253"/>
      <c r="B951" s="28"/>
      <c r="C951" s="28"/>
      <c r="D951" s="28"/>
      <c r="E951" s="28"/>
      <c r="F951" s="28"/>
      <c r="G951" s="28"/>
      <c r="H951" s="322"/>
      <c r="I951" s="28"/>
      <c r="J951" s="28"/>
      <c r="K951" s="28"/>
      <c r="L951" s="28"/>
      <c r="M951" s="28"/>
      <c r="N951" s="254"/>
    </row>
    <row r="952" spans="1:14">
      <c r="A952" s="253"/>
      <c r="B952" s="28"/>
      <c r="C952" s="28"/>
      <c r="D952" s="28"/>
      <c r="E952" s="28"/>
      <c r="F952" s="28"/>
      <c r="G952" s="28"/>
      <c r="H952" s="322"/>
      <c r="I952" s="28"/>
      <c r="J952" s="28"/>
      <c r="K952" s="28"/>
      <c r="L952" s="28"/>
      <c r="M952" s="28"/>
      <c r="N952" s="254"/>
    </row>
    <row r="953" spans="1:14">
      <c r="A953" s="253"/>
      <c r="B953" s="28"/>
      <c r="C953" s="28"/>
      <c r="D953" s="28"/>
      <c r="E953" s="28"/>
      <c r="F953" s="28"/>
      <c r="G953" s="28"/>
      <c r="H953" s="322"/>
      <c r="I953" s="28"/>
      <c r="J953" s="28"/>
      <c r="K953" s="28"/>
      <c r="L953" s="28"/>
      <c r="M953" s="28"/>
      <c r="N953" s="254"/>
    </row>
    <row r="954" spans="1:14">
      <c r="A954" s="253"/>
      <c r="B954" s="28"/>
      <c r="C954" s="28"/>
      <c r="D954" s="28"/>
      <c r="E954" s="28"/>
      <c r="F954" s="28"/>
      <c r="G954" s="28"/>
      <c r="H954" s="322"/>
      <c r="I954" s="28"/>
      <c r="J954" s="28"/>
      <c r="K954" s="28"/>
      <c r="L954" s="28"/>
      <c r="M954" s="28"/>
      <c r="N954" s="254"/>
    </row>
    <row r="955" spans="1:14">
      <c r="A955" s="253"/>
      <c r="B955" s="28"/>
      <c r="C955" s="28"/>
      <c r="D955" s="28"/>
      <c r="E955" s="28"/>
      <c r="F955" s="28"/>
      <c r="G955" s="28"/>
      <c r="H955" s="322"/>
      <c r="I955" s="28"/>
      <c r="J955" s="28"/>
      <c r="K955" s="28"/>
      <c r="L955" s="28"/>
      <c r="M955" s="28"/>
      <c r="N955" s="254"/>
    </row>
    <row r="956" spans="1:14">
      <c r="A956" s="253"/>
      <c r="B956" s="28"/>
      <c r="C956" s="28"/>
      <c r="D956" s="28"/>
      <c r="E956" s="28"/>
      <c r="F956" s="28"/>
      <c r="G956" s="28"/>
      <c r="H956" s="322"/>
      <c r="I956" s="28"/>
      <c r="J956" s="28"/>
      <c r="K956" s="28"/>
      <c r="L956" s="28"/>
      <c r="M956" s="28"/>
      <c r="N956" s="254"/>
    </row>
    <row r="957" spans="1:14">
      <c r="A957" s="253"/>
      <c r="B957" s="28"/>
      <c r="C957" s="28"/>
      <c r="D957" s="28"/>
      <c r="E957" s="28"/>
      <c r="F957" s="28"/>
      <c r="G957" s="28"/>
      <c r="H957" s="322"/>
      <c r="I957" s="28"/>
      <c r="J957" s="28"/>
      <c r="K957" s="28"/>
      <c r="L957" s="28"/>
      <c r="M957" s="28"/>
      <c r="N957" s="254"/>
    </row>
    <row r="958" spans="1:14">
      <c r="A958" s="253"/>
      <c r="B958" s="28"/>
      <c r="C958" s="28"/>
      <c r="D958" s="28"/>
      <c r="E958" s="28"/>
      <c r="F958" s="28"/>
      <c r="G958" s="28"/>
      <c r="H958" s="322"/>
      <c r="I958" s="28"/>
      <c r="J958" s="28"/>
      <c r="K958" s="28"/>
      <c r="L958" s="28"/>
      <c r="M958" s="28"/>
      <c r="N958" s="254"/>
    </row>
    <row r="959" spans="1:14">
      <c r="A959" s="253"/>
      <c r="B959" s="28"/>
      <c r="C959" s="28"/>
      <c r="D959" s="28"/>
      <c r="E959" s="28"/>
      <c r="F959" s="28"/>
      <c r="G959" s="28"/>
      <c r="H959" s="322"/>
      <c r="I959" s="28"/>
      <c r="J959" s="28"/>
      <c r="K959" s="28"/>
      <c r="L959" s="28"/>
      <c r="M959" s="28"/>
      <c r="N959" s="254"/>
    </row>
    <row r="960" spans="1:14">
      <c r="A960" s="253"/>
      <c r="B960" s="28"/>
      <c r="C960" s="28"/>
      <c r="D960" s="28"/>
      <c r="E960" s="28"/>
      <c r="F960" s="28"/>
      <c r="G960" s="28"/>
      <c r="H960" s="322"/>
      <c r="I960" s="28"/>
      <c r="J960" s="28"/>
      <c r="K960" s="28"/>
      <c r="L960" s="28"/>
      <c r="M960" s="28"/>
      <c r="N960" s="254"/>
    </row>
    <row r="961" spans="1:54">
      <c r="A961" s="253"/>
      <c r="B961" s="28"/>
      <c r="C961" s="28"/>
      <c r="D961" s="28"/>
      <c r="E961" s="28"/>
      <c r="F961" s="28"/>
      <c r="G961" s="28"/>
      <c r="H961" s="322"/>
      <c r="I961" s="28"/>
      <c r="J961" s="28"/>
      <c r="K961" s="28"/>
      <c r="L961" s="28"/>
      <c r="M961" s="28"/>
      <c r="N961" s="254"/>
    </row>
    <row r="962" spans="1:54">
      <c r="A962" s="253"/>
      <c r="B962" s="28"/>
      <c r="C962" s="28"/>
      <c r="D962" s="28"/>
      <c r="E962" s="28"/>
      <c r="F962" s="28"/>
      <c r="G962" s="28"/>
      <c r="H962" s="322"/>
      <c r="I962" s="28"/>
      <c r="J962" s="28"/>
      <c r="K962" s="28"/>
      <c r="L962" s="28"/>
      <c r="M962" s="28"/>
      <c r="N962" s="254"/>
    </row>
    <row r="963" spans="1:54">
      <c r="A963" s="253"/>
      <c r="B963" s="28"/>
      <c r="C963" s="28"/>
      <c r="D963" s="28"/>
      <c r="E963" s="28"/>
      <c r="F963" s="28"/>
      <c r="G963" s="28"/>
      <c r="H963" s="322"/>
      <c r="I963" s="28"/>
      <c r="J963" s="28"/>
      <c r="K963" s="28"/>
      <c r="L963" s="28"/>
      <c r="M963" s="28"/>
      <c r="N963" s="254"/>
    </row>
    <row r="964" spans="1:54">
      <c r="A964" s="253"/>
      <c r="B964" s="28"/>
      <c r="C964" s="28"/>
      <c r="D964" s="28"/>
      <c r="E964" s="28"/>
      <c r="F964" s="28"/>
      <c r="G964" s="28"/>
      <c r="H964" s="322"/>
      <c r="I964" s="28"/>
      <c r="J964" s="28"/>
      <c r="K964" s="28"/>
      <c r="L964" s="28"/>
      <c r="M964" s="28"/>
      <c r="N964" s="254"/>
    </row>
    <row r="965" spans="1:54">
      <c r="A965" s="255"/>
      <c r="B965" s="256"/>
      <c r="C965" s="256"/>
      <c r="D965" s="256"/>
      <c r="E965" s="256"/>
      <c r="F965" s="256"/>
      <c r="G965" s="256"/>
      <c r="H965" s="323"/>
      <c r="I965" s="256"/>
      <c r="J965" s="256"/>
      <c r="K965" s="256"/>
      <c r="L965" s="256"/>
      <c r="M965" s="256"/>
      <c r="N965" s="257"/>
    </row>
    <row r="966" spans="1:54" ht="30" customHeight="1">
      <c r="A966" s="250" t="s">
        <v>1148</v>
      </c>
      <c r="B966" s="944" t="s">
        <v>1210</v>
      </c>
      <c r="C966" s="944"/>
      <c r="D966" s="944"/>
      <c r="E966" s="944"/>
      <c r="F966" s="944"/>
      <c r="G966" s="944"/>
      <c r="H966" s="944"/>
      <c r="I966" s="944"/>
      <c r="J966" s="944"/>
      <c r="K966" s="944"/>
      <c r="L966" s="944"/>
      <c r="M966" s="251"/>
      <c r="N966" s="252" t="s">
        <v>1149</v>
      </c>
    </row>
    <row r="967" spans="1:54" ht="24.6" customHeight="1">
      <c r="A967" s="253"/>
      <c r="B967" s="28"/>
      <c r="C967" s="28"/>
      <c r="D967" s="28"/>
      <c r="E967" s="28"/>
      <c r="F967" s="28"/>
      <c r="G967" s="28"/>
      <c r="H967" s="322"/>
      <c r="I967" s="28"/>
      <c r="J967" s="28"/>
      <c r="K967" s="28"/>
      <c r="L967" s="28"/>
      <c r="M967" s="28"/>
      <c r="N967" s="254"/>
    </row>
    <row r="968" spans="1:54">
      <c r="A968" s="253"/>
      <c r="B968" s="28"/>
      <c r="C968" s="28"/>
      <c r="D968" s="28"/>
      <c r="E968" s="28"/>
      <c r="F968" s="28"/>
      <c r="G968" s="28"/>
      <c r="H968" s="322"/>
      <c r="I968" s="28"/>
      <c r="J968" s="28"/>
      <c r="K968" s="28"/>
      <c r="L968" s="28"/>
      <c r="M968" s="28"/>
      <c r="N968" s="254"/>
    </row>
    <row r="969" spans="1:54" ht="25.2" customHeight="1">
      <c r="A969" s="253"/>
      <c r="B969" s="28"/>
      <c r="C969" s="28"/>
      <c r="D969" s="28"/>
      <c r="E969" s="28"/>
      <c r="F969" s="28"/>
      <c r="G969" s="28"/>
      <c r="H969" s="322"/>
      <c r="I969" s="28"/>
      <c r="J969" s="28"/>
      <c r="K969" s="28"/>
      <c r="L969" s="28"/>
      <c r="M969" s="28"/>
      <c r="N969" s="254"/>
    </row>
    <row r="970" spans="1:54" ht="19.95" customHeight="1">
      <c r="A970" s="253"/>
      <c r="B970" s="28"/>
      <c r="C970" s="28"/>
      <c r="D970" s="28"/>
      <c r="E970" s="28"/>
      <c r="F970" s="28"/>
      <c r="G970" s="28"/>
      <c r="H970" s="322"/>
      <c r="I970" s="28"/>
      <c r="J970" s="28"/>
      <c r="K970" s="28"/>
      <c r="L970" s="28"/>
      <c r="M970" s="28"/>
      <c r="N970" s="254"/>
    </row>
    <row r="971" spans="1:54" ht="19.95" customHeight="1">
      <c r="A971" s="253"/>
      <c r="B971" s="28"/>
      <c r="C971" s="28"/>
      <c r="D971" s="28"/>
      <c r="E971" s="28"/>
      <c r="F971" s="28"/>
      <c r="G971" s="28"/>
      <c r="H971" s="322"/>
      <c r="I971" s="28"/>
      <c r="J971" s="28"/>
      <c r="K971" s="28"/>
      <c r="L971" s="28"/>
      <c r="M971" s="28"/>
      <c r="N971" s="254"/>
      <c r="BB971" s="136" t="s">
        <v>1107</v>
      </c>
    </row>
    <row r="972" spans="1:54" ht="19.95" customHeight="1">
      <c r="A972" s="253"/>
      <c r="B972" s="28"/>
      <c r="C972" s="28"/>
      <c r="D972" s="28"/>
      <c r="E972" s="28"/>
      <c r="F972" s="28"/>
      <c r="G972" s="28"/>
      <c r="H972" s="322"/>
      <c r="I972" s="28"/>
      <c r="J972" s="28"/>
      <c r="K972" s="28"/>
      <c r="L972" s="28"/>
      <c r="M972" s="28"/>
      <c r="N972" s="254"/>
      <c r="BB972" s="136" t="s">
        <v>1108</v>
      </c>
    </row>
    <row r="973" spans="1:54" ht="19.95" customHeight="1">
      <c r="A973" s="253"/>
      <c r="B973" s="28"/>
      <c r="C973" s="28"/>
      <c r="D973" s="28"/>
      <c r="E973" s="28"/>
      <c r="F973" s="28"/>
      <c r="G973" s="28"/>
      <c r="H973" s="322"/>
      <c r="I973" s="28"/>
      <c r="J973" s="28"/>
      <c r="K973" s="28"/>
      <c r="L973" s="28"/>
      <c r="M973" s="28"/>
      <c r="N973" s="254"/>
      <c r="BB973" s="136" t="s">
        <v>1109</v>
      </c>
    </row>
    <row r="974" spans="1:54" ht="19.95" customHeight="1">
      <c r="A974" s="253"/>
      <c r="B974" s="28"/>
      <c r="C974" s="28"/>
      <c r="D974" s="28"/>
      <c r="E974" s="28"/>
      <c r="F974" s="28"/>
      <c r="G974" s="28"/>
      <c r="H974" s="322"/>
      <c r="I974" s="28"/>
      <c r="J974" s="28"/>
      <c r="K974" s="28"/>
      <c r="L974" s="28"/>
      <c r="M974" s="28"/>
      <c r="N974" s="254"/>
      <c r="BB974" s="136" t="s">
        <v>1110</v>
      </c>
    </row>
    <row r="975" spans="1:54" ht="19.95" customHeight="1">
      <c r="A975" s="253"/>
      <c r="B975" s="28"/>
      <c r="C975" s="28"/>
      <c r="D975" s="28"/>
      <c r="E975" s="28"/>
      <c r="F975" s="28"/>
      <c r="G975" s="28"/>
      <c r="H975" s="322"/>
      <c r="I975" s="28"/>
      <c r="J975" s="28"/>
      <c r="K975" s="28"/>
      <c r="L975" s="28"/>
      <c r="M975" s="28"/>
      <c r="N975" s="254"/>
      <c r="BB975" s="136" t="s">
        <v>1111</v>
      </c>
    </row>
    <row r="976" spans="1:54" ht="19.95" customHeight="1">
      <c r="A976" s="253"/>
      <c r="B976" s="28"/>
      <c r="C976" s="28"/>
      <c r="D976" s="28"/>
      <c r="E976" s="28"/>
      <c r="F976" s="28"/>
      <c r="G976" s="28"/>
      <c r="H976" s="322"/>
      <c r="I976" s="28"/>
      <c r="J976" s="28"/>
      <c r="K976" s="28"/>
      <c r="L976" s="28"/>
      <c r="M976" s="28"/>
      <c r="N976" s="254"/>
    </row>
    <row r="977" spans="1:62" ht="19.95" customHeight="1" thickBot="1">
      <c r="A977" s="253"/>
      <c r="B977" s="28"/>
      <c r="C977" s="28"/>
      <c r="D977" s="28"/>
      <c r="E977" s="28"/>
      <c r="F977" s="28"/>
      <c r="G977" s="28"/>
      <c r="H977" s="322"/>
      <c r="I977" s="28"/>
      <c r="J977" s="28"/>
      <c r="K977" s="28"/>
      <c r="L977" s="28"/>
      <c r="M977" s="28"/>
      <c r="N977" s="254"/>
    </row>
    <row r="978" spans="1:62" ht="19.95" customHeight="1">
      <c r="A978" s="253"/>
      <c r="B978" s="28"/>
      <c r="C978" s="28"/>
      <c r="D978" s="28"/>
      <c r="E978" s="28"/>
      <c r="F978" s="28"/>
      <c r="G978" s="1044"/>
      <c r="H978" s="1045"/>
      <c r="I978" s="1045"/>
      <c r="J978" s="1045"/>
      <c r="K978" s="1045"/>
      <c r="L978" s="1045"/>
      <c r="M978" s="1046"/>
      <c r="N978" s="254"/>
    </row>
    <row r="979" spans="1:62" ht="19.95" customHeight="1" thickBot="1">
      <c r="A979" s="253"/>
      <c r="B979" s="28"/>
      <c r="C979" s="28"/>
      <c r="D979" s="28"/>
      <c r="E979" s="28"/>
      <c r="F979" s="28"/>
      <c r="G979" s="1047"/>
      <c r="H979" s="1048"/>
      <c r="I979" s="1048"/>
      <c r="J979" s="1048"/>
      <c r="K979" s="1048"/>
      <c r="L979" s="1048"/>
      <c r="M979" s="1049"/>
      <c r="N979" s="254"/>
    </row>
    <row r="980" spans="1:62" ht="10.199999999999999" customHeight="1">
      <c r="A980" s="253"/>
      <c r="B980" s="28"/>
      <c r="C980" s="28"/>
      <c r="D980" s="28"/>
      <c r="E980" s="28"/>
      <c r="F980" s="28"/>
      <c r="G980" s="28"/>
      <c r="H980" s="322"/>
      <c r="I980" s="28"/>
      <c r="J980" s="28"/>
      <c r="K980" s="28"/>
      <c r="L980" s="28"/>
      <c r="M980" s="28"/>
      <c r="N980" s="254"/>
    </row>
    <row r="981" spans="1:62" ht="19.95" customHeight="1">
      <c r="A981" s="253"/>
      <c r="B981" s="998" t="str">
        <f>BB981</f>
        <v>SELECT FROM THE DROPDOWN LIST HOW READY YOU ARE TO TRY THIS</v>
      </c>
      <c r="C981" s="998"/>
      <c r="D981" s="998"/>
      <c r="E981" s="998"/>
      <c r="F981" s="998"/>
      <c r="G981" s="998"/>
      <c r="H981" s="998"/>
      <c r="I981" s="998"/>
      <c r="J981" s="998"/>
      <c r="K981" s="998"/>
      <c r="L981" s="998"/>
      <c r="M981" s="998"/>
      <c r="N981" s="254"/>
      <c r="BB981" s="2" t="str">
        <f>IF($G$978=BB$971,BD981,IF($G$978=BB$972,BE981,IF($G$978=BB$973,BF981,IF($G$978=BB$974,BG981,IF($G$978=BB$975,BH981,BJ981)))))</f>
        <v>SELECT FROM THE DROPDOWN LIST HOW READY YOU ARE TO TRY THIS</v>
      </c>
      <c r="BD981" s="2" t="s">
        <v>1228</v>
      </c>
      <c r="BE981" s="2" t="s">
        <v>1229</v>
      </c>
      <c r="BF981" s="2" t="s">
        <v>1122</v>
      </c>
      <c r="BG981" s="2" t="s">
        <v>1123</v>
      </c>
      <c r="BH981" s="2" t="s">
        <v>1124</v>
      </c>
      <c r="BI981" s="2" t="s">
        <v>553</v>
      </c>
      <c r="BJ981" s="2" t="s">
        <v>1125</v>
      </c>
    </row>
    <row r="982" spans="1:62" ht="19.95" customHeight="1">
      <c r="A982" s="253"/>
      <c r="B982" s="998"/>
      <c r="C982" s="998"/>
      <c r="D982" s="998"/>
      <c r="E982" s="998"/>
      <c r="F982" s="998"/>
      <c r="G982" s="998"/>
      <c r="H982" s="998"/>
      <c r="I982" s="998"/>
      <c r="J982" s="998"/>
      <c r="K982" s="998"/>
      <c r="L982" s="998"/>
      <c r="M982" s="998"/>
      <c r="N982" s="254"/>
      <c r="BB982" s="2" t="str">
        <f>IF($G$978=BB$971,BD982,IF($G$978=BB$972,BE982,IF($G$978=BB$973,BF982,IF($G$978=BB$974,BG982,IF($G$978=BB$975,BH982,BJ982)))))</f>
        <v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v>
      </c>
      <c r="BD982" s="2" t="s">
        <v>1112</v>
      </c>
      <c r="BE982" s="2" t="s">
        <v>1112</v>
      </c>
      <c r="BF982" s="2" t="s">
        <v>1112</v>
      </c>
      <c r="BG982" s="2" t="s">
        <v>1112</v>
      </c>
      <c r="BH982" s="2" t="s">
        <v>1112</v>
      </c>
      <c r="BI982" s="2" t="s">
        <v>553</v>
      </c>
      <c r="BJ982" s="2" t="s">
        <v>1126</v>
      </c>
    </row>
    <row r="983" spans="1:62" ht="19.95" customHeight="1">
      <c r="A983" s="253"/>
      <c r="B983" s="998"/>
      <c r="C983" s="998"/>
      <c r="D983" s="998"/>
      <c r="E983" s="998"/>
      <c r="F983" s="998"/>
      <c r="G983" s="998"/>
      <c r="H983" s="998"/>
      <c r="I983" s="998"/>
      <c r="J983" s="998"/>
      <c r="K983" s="998"/>
      <c r="L983" s="998"/>
      <c r="M983" s="998"/>
      <c r="N983" s="254"/>
      <c r="BB983" s="2" t="str">
        <f>IF($G$978=BB$971,BD983,IF($G$978=BB$972,BE983,IF($G$978=BB$973,BF983,IF($G$978=BB$974,BG983,IF($G$978=BB$975,BH983,BJ983)))))</f>
        <v>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v>
      </c>
      <c r="BD983" s="2" t="s">
        <v>1118</v>
      </c>
      <c r="BE983" s="2" t="s">
        <v>1119</v>
      </c>
      <c r="BF983" s="2" t="s">
        <v>1129</v>
      </c>
      <c r="BG983" s="2" t="s">
        <v>1120</v>
      </c>
      <c r="BH983" s="2" t="s">
        <v>1121</v>
      </c>
      <c r="BI983" s="2" t="s">
        <v>553</v>
      </c>
      <c r="BJ983" s="2" t="s">
        <v>1227</v>
      </c>
    </row>
    <row r="984" spans="1:62" ht="19.95" customHeight="1">
      <c r="A984" s="253"/>
      <c r="B984" s="998" t="str">
        <f>BB982</f>
        <v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v>
      </c>
      <c r="C984" s="998"/>
      <c r="D984" s="998"/>
      <c r="E984" s="998"/>
      <c r="F984" s="998"/>
      <c r="G984" s="998"/>
      <c r="H984" s="998"/>
      <c r="I984" s="998"/>
      <c r="J984" s="998"/>
      <c r="K984" s="998"/>
      <c r="L984" s="998"/>
      <c r="M984" s="998"/>
      <c r="N984" s="254"/>
      <c r="BB984" s="2" t="str">
        <f>IF($G$978=BB$971,BD984,IF($G$978=BB$972,BE984,IF($G$978=BB$973,BF984,IF($G$978=BB$974,BG984,IF($G$978=BB$975,BH984,BJ984)))))</f>
        <v>Politics exist to guide our behavior to serve needs, namely to shape laws. While no one sits above the law, no law sits above the needs it exists to serve. Whose needs are best served in how our laws are formed, interpreted, enforced, and politicized?</v>
      </c>
      <c r="BD984" s="2" t="s">
        <v>1113</v>
      </c>
      <c r="BE984" s="2" t="s">
        <v>1114</v>
      </c>
      <c r="BF984" s="2" t="s">
        <v>1115</v>
      </c>
      <c r="BG984" s="2" t="s">
        <v>1116</v>
      </c>
      <c r="BH984" s="2" t="s">
        <v>1117</v>
      </c>
      <c r="BI984" s="2" t="s">
        <v>553</v>
      </c>
      <c r="BJ984" s="2" t="s">
        <v>1128</v>
      </c>
    </row>
    <row r="985" spans="1:62" ht="19.95" customHeight="1">
      <c r="A985" s="253"/>
      <c r="B985" s="998"/>
      <c r="C985" s="998"/>
      <c r="D985" s="998"/>
      <c r="E985" s="998"/>
      <c r="F985" s="998"/>
      <c r="G985" s="998"/>
      <c r="H985" s="998"/>
      <c r="I985" s="998"/>
      <c r="J985" s="998"/>
      <c r="K985" s="998"/>
      <c r="L985" s="998"/>
      <c r="M985" s="998"/>
      <c r="N985" s="254"/>
      <c r="BB985" s="2" t="str">
        <f>IF($G$978=BB$971,BD985,IF($G$978=BB$972,BE985,IF($G$978=BB$973,BF985,IF($G$978=BB$974,BG985,IF($G$978=BB$975,BH985,BJ985)))))</f>
        <v>Widespread anxiety and depression suggest our politics and our system of laws fail to properly serve our many specific needs. Such anxiety and depression arise from unmet needs, so let's look at particular pain points on both sides of eight key political issues.</v>
      </c>
      <c r="BD985" s="2" t="s">
        <v>1127</v>
      </c>
      <c r="BE985" s="2" t="s">
        <v>1127</v>
      </c>
      <c r="BF985" s="2" t="s">
        <v>1127</v>
      </c>
      <c r="BG985" s="2" t="s">
        <v>1127</v>
      </c>
      <c r="BH985" s="2" t="s">
        <v>1127</v>
      </c>
      <c r="BI985" s="2" t="s">
        <v>553</v>
      </c>
      <c r="BJ985" s="2" t="s">
        <v>1130</v>
      </c>
    </row>
    <row r="986" spans="1:62" ht="19.95" customHeight="1">
      <c r="A986" s="253"/>
      <c r="B986" s="998"/>
      <c r="C986" s="998"/>
      <c r="D986" s="998"/>
      <c r="E986" s="998"/>
      <c r="F986" s="998"/>
      <c r="G986" s="998"/>
      <c r="H986" s="998"/>
      <c r="I986" s="998"/>
      <c r="J986" s="998"/>
      <c r="K986" s="998"/>
      <c r="L986" s="998"/>
      <c r="M986" s="998"/>
      <c r="N986" s="254"/>
    </row>
    <row r="987" spans="1:62" ht="19.95" customHeight="1">
      <c r="A987" s="253"/>
      <c r="B987" s="998"/>
      <c r="C987" s="998"/>
      <c r="D987" s="998"/>
      <c r="E987" s="998"/>
      <c r="F987" s="998"/>
      <c r="G987" s="998"/>
      <c r="H987" s="998"/>
      <c r="I987" s="998"/>
      <c r="J987" s="998"/>
      <c r="K987" s="998"/>
      <c r="L987" s="998"/>
      <c r="M987" s="998"/>
      <c r="N987" s="254"/>
    </row>
    <row r="988" spans="1:62" ht="19.95" customHeight="1">
      <c r="A988" s="253"/>
      <c r="B988" s="998"/>
      <c r="C988" s="998"/>
      <c r="D988" s="998"/>
      <c r="E988" s="998"/>
      <c r="F988" s="998"/>
      <c r="G988" s="998"/>
      <c r="H988" s="998"/>
      <c r="I988" s="998"/>
      <c r="J988" s="998"/>
      <c r="K988" s="998"/>
      <c r="L988" s="998"/>
      <c r="M988" s="998"/>
      <c r="N988" s="254"/>
    </row>
    <row r="989" spans="1:62" ht="19.95" customHeight="1">
      <c r="A989" s="253"/>
      <c r="B989" s="998" t="str">
        <f>BB983</f>
        <v>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v>
      </c>
      <c r="C989" s="998"/>
      <c r="D989" s="998"/>
      <c r="E989" s="998"/>
      <c r="F989" s="998"/>
      <c r="G989" s="998"/>
      <c r="H989" s="998"/>
      <c r="I989" s="998"/>
      <c r="J989" s="998"/>
      <c r="K989" s="998"/>
      <c r="L989" s="998"/>
      <c r="M989" s="998"/>
      <c r="N989" s="254"/>
    </row>
    <row r="990" spans="1:62" ht="19.95" customHeight="1">
      <c r="A990" s="253"/>
      <c r="B990" s="998"/>
      <c r="C990" s="998"/>
      <c r="D990" s="998"/>
      <c r="E990" s="998"/>
      <c r="F990" s="998"/>
      <c r="G990" s="998"/>
      <c r="H990" s="998"/>
      <c r="I990" s="998"/>
      <c r="J990" s="998"/>
      <c r="K990" s="998"/>
      <c r="L990" s="998"/>
      <c r="M990" s="998"/>
      <c r="N990" s="254"/>
    </row>
    <row r="991" spans="1:62" ht="19.95" customHeight="1">
      <c r="A991" s="253"/>
      <c r="B991" s="998"/>
      <c r="C991" s="998"/>
      <c r="D991" s="998"/>
      <c r="E991" s="998"/>
      <c r="F991" s="998"/>
      <c r="G991" s="998"/>
      <c r="H991" s="998"/>
      <c r="I991" s="998"/>
      <c r="J991" s="998"/>
      <c r="K991" s="998"/>
      <c r="L991" s="998"/>
      <c r="M991" s="998"/>
      <c r="N991" s="254"/>
    </row>
    <row r="992" spans="1:62" ht="19.95" customHeight="1">
      <c r="A992" s="253"/>
      <c r="B992" s="998"/>
      <c r="C992" s="998"/>
      <c r="D992" s="998"/>
      <c r="E992" s="998"/>
      <c r="F992" s="998"/>
      <c r="G992" s="998"/>
      <c r="H992" s="998"/>
      <c r="I992" s="998"/>
      <c r="J992" s="998"/>
      <c r="K992" s="998"/>
      <c r="L992" s="998"/>
      <c r="M992" s="998"/>
      <c r="N992" s="254"/>
    </row>
    <row r="993" spans="1:14" ht="19.95" customHeight="1">
      <c r="A993" s="253"/>
      <c r="B993" s="998" t="str">
        <f>BB984</f>
        <v>Politics exist to guide our behavior to serve needs, namely to shape laws. While no one sits above the law, no law sits above the needs it exists to serve. Whose needs are best served in how our laws are formed, interpreted, enforced, and politicized?</v>
      </c>
      <c r="C993" s="998"/>
      <c r="D993" s="998"/>
      <c r="E993" s="998"/>
      <c r="F993" s="998"/>
      <c r="G993" s="998"/>
      <c r="H993" s="998"/>
      <c r="I993" s="998"/>
      <c r="J993" s="998"/>
      <c r="K993" s="998"/>
      <c r="L993" s="998"/>
      <c r="M993" s="998"/>
      <c r="N993" s="254"/>
    </row>
    <row r="994" spans="1:14" ht="19.95" customHeight="1">
      <c r="A994" s="253"/>
      <c r="B994" s="998"/>
      <c r="C994" s="998"/>
      <c r="D994" s="998"/>
      <c r="E994" s="998"/>
      <c r="F994" s="998"/>
      <c r="G994" s="998"/>
      <c r="H994" s="998"/>
      <c r="I994" s="998"/>
      <c r="J994" s="998"/>
      <c r="K994" s="998"/>
      <c r="L994" s="998"/>
      <c r="M994" s="998"/>
      <c r="N994" s="254"/>
    </row>
    <row r="995" spans="1:14" ht="19.95" customHeight="1">
      <c r="A995" s="253"/>
      <c r="B995" s="998"/>
      <c r="C995" s="998"/>
      <c r="D995" s="998"/>
      <c r="E995" s="998"/>
      <c r="F995" s="998"/>
      <c r="G995" s="998"/>
      <c r="H995" s="998"/>
      <c r="I995" s="998"/>
      <c r="J995" s="998"/>
      <c r="K995" s="998"/>
      <c r="L995" s="998"/>
      <c r="M995" s="998"/>
      <c r="N995" s="254"/>
    </row>
    <row r="996" spans="1:14" ht="19.95" customHeight="1">
      <c r="A996" s="253"/>
      <c r="B996" s="1042" t="str">
        <f>BB985</f>
        <v>Widespread anxiety and depression suggest our politics and our system of laws fail to properly serve our many specific needs. Such anxiety and depression arise from unmet needs, so let's look at particular pain points on both sides of eight key political issues.</v>
      </c>
      <c r="C996" s="1042"/>
      <c r="D996" s="1042"/>
      <c r="E996" s="1042"/>
      <c r="F996" s="1042"/>
      <c r="G996" s="1042"/>
      <c r="H996" s="1042"/>
      <c r="I996" s="1042"/>
      <c r="J996" s="1042"/>
      <c r="K996" s="1042"/>
      <c r="L996" s="1042"/>
      <c r="M996" s="1042"/>
      <c r="N996" s="254"/>
    </row>
    <row r="997" spans="1:14" ht="19.95" customHeight="1">
      <c r="A997" s="253"/>
      <c r="B997" s="1042"/>
      <c r="C997" s="1042"/>
      <c r="D997" s="1042"/>
      <c r="E997" s="1042"/>
      <c r="F997" s="1042"/>
      <c r="G997" s="1042"/>
      <c r="H997" s="1042"/>
      <c r="I997" s="1042"/>
      <c r="J997" s="1042"/>
      <c r="K997" s="1042"/>
      <c r="L997" s="1042"/>
      <c r="M997" s="1042"/>
      <c r="N997" s="254"/>
    </row>
    <row r="998" spans="1:14" ht="19.95" customHeight="1">
      <c r="A998" s="253"/>
      <c r="B998" s="1042"/>
      <c r="C998" s="1042"/>
      <c r="D998" s="1042"/>
      <c r="E998" s="1042"/>
      <c r="F998" s="1042"/>
      <c r="G998" s="1042"/>
      <c r="H998" s="1042"/>
      <c r="I998" s="1042"/>
      <c r="J998" s="1042"/>
      <c r="K998" s="1042"/>
      <c r="L998" s="1042"/>
      <c r="M998" s="1042"/>
      <c r="N998" s="254"/>
    </row>
    <row r="999" spans="1:14">
      <c r="A999" s="255"/>
      <c r="B999" s="256"/>
      <c r="C999" s="256"/>
      <c r="D999" s="256"/>
      <c r="E999" s="256"/>
      <c r="F999" s="256"/>
      <c r="G999" s="256"/>
      <c r="H999" s="323"/>
      <c r="I999" s="256"/>
      <c r="J999" s="256"/>
      <c r="K999" s="256"/>
      <c r="L999" s="256"/>
      <c r="M999" s="256"/>
      <c r="N999" s="257"/>
    </row>
    <row r="1000" spans="1:14" ht="30" customHeight="1">
      <c r="A1000" s="238" t="s">
        <v>1148</v>
      </c>
      <c r="B1000" s="912" t="s">
        <v>1143</v>
      </c>
      <c r="C1000" s="912"/>
      <c r="D1000" s="912"/>
      <c r="E1000" s="912"/>
      <c r="F1000" s="912"/>
      <c r="G1000" s="912"/>
      <c r="H1000" s="912"/>
      <c r="I1000" s="912"/>
      <c r="J1000" s="912"/>
      <c r="K1000" s="912"/>
      <c r="L1000" s="912"/>
      <c r="M1000" s="912"/>
      <c r="N1000" s="239" t="s">
        <v>1149</v>
      </c>
    </row>
    <row r="1001" spans="1:14" ht="34.950000000000003" customHeight="1">
      <c r="A1001" s="240"/>
      <c r="B1001" s="962" t="s">
        <v>1106</v>
      </c>
      <c r="C1001" s="962"/>
      <c r="D1001" s="962"/>
      <c r="E1001" s="962"/>
      <c r="F1001" s="962"/>
      <c r="G1001" s="962"/>
      <c r="H1001" s="962"/>
      <c r="I1001" s="962"/>
      <c r="J1001" s="962"/>
      <c r="K1001" s="962"/>
      <c r="L1001" s="962"/>
      <c r="M1001" s="962"/>
      <c r="N1001" s="241"/>
    </row>
    <row r="1002" spans="1:14" ht="37.200000000000003" customHeight="1">
      <c r="A1002" s="242"/>
      <c r="B1002" s="963" t="s">
        <v>1237</v>
      </c>
      <c r="C1002" s="963"/>
      <c r="D1002" s="963"/>
      <c r="E1002" s="963"/>
      <c r="F1002" s="963"/>
      <c r="G1002" s="963"/>
      <c r="H1002" s="963"/>
      <c r="I1002" s="963"/>
      <c r="J1002" s="963"/>
      <c r="K1002" s="963"/>
      <c r="L1002" s="963"/>
      <c r="M1002" s="963"/>
      <c r="N1002" s="243"/>
    </row>
    <row r="1003" spans="1:14" ht="37.200000000000003" customHeight="1">
      <c r="A1003" s="242"/>
      <c r="B1003" s="963"/>
      <c r="C1003" s="963"/>
      <c r="D1003" s="963"/>
      <c r="E1003" s="963"/>
      <c r="F1003" s="963"/>
      <c r="G1003" s="963"/>
      <c r="H1003" s="963"/>
      <c r="I1003" s="963"/>
      <c r="J1003" s="963"/>
      <c r="K1003" s="963"/>
      <c r="L1003" s="963"/>
      <c r="M1003" s="963"/>
      <c r="N1003" s="243"/>
    </row>
    <row r="1004" spans="1:14" ht="4.95" customHeight="1">
      <c r="A1004" s="242"/>
      <c r="B1004" s="244"/>
      <c r="C1004" s="244"/>
      <c r="D1004" s="244"/>
      <c r="E1004" s="244"/>
      <c r="F1004" s="244"/>
      <c r="G1004" s="244"/>
      <c r="H1004" s="336"/>
      <c r="I1004" s="244"/>
      <c r="J1004" s="244"/>
      <c r="K1004" s="244"/>
      <c r="L1004" s="244"/>
      <c r="M1004" s="244"/>
      <c r="N1004" s="243"/>
    </row>
    <row r="1005" spans="1:14" ht="30" customHeight="1">
      <c r="A1005" s="242"/>
      <c r="B1005" s="109" t="s">
        <v>420</v>
      </c>
      <c r="C1005" s="107"/>
      <c r="D1005" s="107"/>
      <c r="E1005" s="107"/>
      <c r="F1005" s="107"/>
      <c r="G1005" s="107"/>
      <c r="H1005" s="339"/>
      <c r="I1005" s="108"/>
      <c r="J1005" s="108"/>
      <c r="K1005" s="108"/>
      <c r="L1005" s="108"/>
      <c r="M1005" s="110" t="s">
        <v>421</v>
      </c>
      <c r="N1005" s="243"/>
    </row>
    <row r="1006" spans="1:14" ht="15" customHeight="1">
      <c r="A1006" s="242"/>
      <c r="B1006" s="115" t="s">
        <v>423</v>
      </c>
      <c r="C1006" s="102"/>
      <c r="D1006" s="102"/>
      <c r="E1006" s="102"/>
      <c r="F1006" s="102"/>
      <c r="G1006" s="102"/>
      <c r="H1006" s="339"/>
      <c r="I1006" s="103"/>
      <c r="J1006" s="103"/>
      <c r="K1006" s="103"/>
      <c r="L1006" s="103"/>
      <c r="M1006" s="116" t="s">
        <v>422</v>
      </c>
      <c r="N1006" s="243"/>
    </row>
    <row r="1007" spans="1:14" ht="4.95" customHeight="1">
      <c r="A1007" s="242"/>
      <c r="B1007" s="244"/>
      <c r="C1007" s="244"/>
      <c r="D1007" s="244"/>
      <c r="E1007" s="244"/>
      <c r="F1007" s="244"/>
      <c r="G1007" s="244"/>
      <c r="H1007" s="336"/>
      <c r="I1007" s="244"/>
      <c r="J1007" s="244"/>
      <c r="K1007" s="244"/>
      <c r="L1007" s="244"/>
      <c r="M1007" s="244"/>
      <c r="N1007" s="243"/>
    </row>
    <row r="1008" spans="1:14" ht="10.199999999999999" customHeight="1">
      <c r="A1008" s="245"/>
      <c r="B1008" s="112"/>
      <c r="C1008" s="112"/>
      <c r="D1008" s="112"/>
      <c r="E1008" s="112"/>
      <c r="F1008" s="112"/>
      <c r="G1008" s="112"/>
      <c r="H1008" s="335"/>
      <c r="I1008" s="112"/>
      <c r="J1008" s="112"/>
      <c r="K1008" s="112"/>
      <c r="L1008" s="112"/>
      <c r="M1008" s="112"/>
      <c r="N1008" s="246"/>
    </row>
    <row r="1009" spans="1:14" ht="15" customHeight="1">
      <c r="A1009" s="245"/>
      <c r="B1009" s="113" t="s">
        <v>426</v>
      </c>
      <c r="C1009" s="112"/>
      <c r="D1009" s="112"/>
      <c r="E1009" s="961" t="s">
        <v>53</v>
      </c>
      <c r="F1009" s="961"/>
      <c r="G1009" s="961"/>
      <c r="H1009" s="961"/>
      <c r="I1009" s="961"/>
      <c r="J1009" s="961"/>
      <c r="K1009" s="112"/>
      <c r="L1009" s="112"/>
      <c r="M1009" s="114" t="s">
        <v>426</v>
      </c>
      <c r="N1009" s="246"/>
    </row>
    <row r="1010" spans="1:14" ht="15" customHeight="1">
      <c r="A1010" s="245"/>
      <c r="B1010" s="101" t="s">
        <v>427</v>
      </c>
      <c r="C1010" s="102"/>
      <c r="D1010" s="102"/>
      <c r="E1010" s="102"/>
      <c r="F1010" s="102"/>
      <c r="G1010" s="102"/>
      <c r="H1010" s="339"/>
      <c r="I1010" s="103"/>
      <c r="J1010" s="103"/>
      <c r="K1010" s="103"/>
      <c r="L1010" s="103"/>
      <c r="M1010" s="104" t="s">
        <v>428</v>
      </c>
      <c r="N1010" s="246"/>
    </row>
    <row r="1011" spans="1:14" ht="15" customHeight="1">
      <c r="A1011" s="245"/>
      <c r="B1011" s="105" t="s">
        <v>430</v>
      </c>
      <c r="C1011" s="102"/>
      <c r="D1011" s="102"/>
      <c r="E1011" s="102"/>
      <c r="F1011" s="102"/>
      <c r="G1011" s="102"/>
      <c r="H1011" s="339"/>
      <c r="I1011" s="103"/>
      <c r="J1011" s="103"/>
      <c r="K1011" s="103"/>
      <c r="L1011" s="103"/>
      <c r="M1011" s="106" t="s">
        <v>429</v>
      </c>
      <c r="N1011" s="246"/>
    </row>
    <row r="1012" spans="1:14" ht="10.199999999999999" customHeight="1">
      <c r="A1012" s="245"/>
      <c r="B1012" s="112"/>
      <c r="C1012" s="112"/>
      <c r="D1012" s="112"/>
      <c r="E1012" s="112"/>
      <c r="F1012" s="112"/>
      <c r="G1012" s="112"/>
      <c r="H1012" s="335"/>
      <c r="I1012" s="112"/>
      <c r="J1012" s="112"/>
      <c r="K1012" s="112"/>
      <c r="L1012" s="112"/>
      <c r="M1012" s="112"/>
      <c r="N1012" s="246"/>
    </row>
    <row r="1013" spans="1:14" ht="15" customHeight="1">
      <c r="A1013" s="245"/>
      <c r="B1013" s="113" t="s">
        <v>426</v>
      </c>
      <c r="C1013" s="112"/>
      <c r="D1013" s="112"/>
      <c r="E1013" s="961" t="s">
        <v>81</v>
      </c>
      <c r="F1013" s="961"/>
      <c r="G1013" s="961"/>
      <c r="H1013" s="961"/>
      <c r="I1013" s="961"/>
      <c r="J1013" s="961"/>
      <c r="K1013" s="112"/>
      <c r="L1013" s="112"/>
      <c r="M1013" s="114" t="s">
        <v>426</v>
      </c>
      <c r="N1013" s="246"/>
    </row>
    <row r="1014" spans="1:14" ht="15" customHeight="1">
      <c r="A1014" s="245"/>
      <c r="B1014" s="101" t="s">
        <v>433</v>
      </c>
      <c r="C1014" s="102"/>
      <c r="D1014" s="102"/>
      <c r="E1014" s="102"/>
      <c r="F1014" s="102"/>
      <c r="G1014" s="102"/>
      <c r="H1014" s="339"/>
      <c r="I1014" s="103"/>
      <c r="J1014" s="103"/>
      <c r="K1014" s="103"/>
      <c r="L1014" s="103"/>
      <c r="M1014" s="104" t="s">
        <v>445</v>
      </c>
      <c r="N1014" s="246"/>
    </row>
    <row r="1015" spans="1:14" ht="15" customHeight="1">
      <c r="A1015" s="245"/>
      <c r="B1015" s="105" t="s">
        <v>434</v>
      </c>
      <c r="C1015" s="102"/>
      <c r="D1015" s="102"/>
      <c r="E1015" s="102"/>
      <c r="F1015" s="102"/>
      <c r="G1015" s="102"/>
      <c r="H1015" s="339"/>
      <c r="I1015" s="103"/>
      <c r="J1015" s="103"/>
      <c r="K1015" s="103"/>
      <c r="L1015" s="103"/>
      <c r="M1015" s="106" t="s">
        <v>446</v>
      </c>
      <c r="N1015" s="246"/>
    </row>
    <row r="1016" spans="1:14" ht="10.199999999999999" customHeight="1">
      <c r="A1016" s="245"/>
      <c r="B1016" s="112"/>
      <c r="C1016" s="112"/>
      <c r="D1016" s="112"/>
      <c r="E1016" s="112"/>
      <c r="F1016" s="112"/>
      <c r="G1016" s="112"/>
      <c r="H1016" s="335"/>
      <c r="I1016" s="112"/>
      <c r="J1016" s="112"/>
      <c r="K1016" s="112"/>
      <c r="L1016" s="112"/>
      <c r="M1016" s="112"/>
      <c r="N1016" s="246"/>
    </row>
    <row r="1017" spans="1:14" ht="15" customHeight="1">
      <c r="A1017" s="245"/>
      <c r="B1017" s="113" t="s">
        <v>426</v>
      </c>
      <c r="C1017" s="112"/>
      <c r="D1017" s="112"/>
      <c r="E1017" s="961" t="s">
        <v>82</v>
      </c>
      <c r="F1017" s="961"/>
      <c r="G1017" s="961"/>
      <c r="H1017" s="961"/>
      <c r="I1017" s="961"/>
      <c r="J1017" s="961"/>
      <c r="K1017" s="112"/>
      <c r="L1017" s="112"/>
      <c r="M1017" s="114" t="s">
        <v>426</v>
      </c>
      <c r="N1017" s="246"/>
    </row>
    <row r="1018" spans="1:14" ht="15" customHeight="1">
      <c r="A1018" s="245"/>
      <c r="B1018" s="101" t="s">
        <v>435</v>
      </c>
      <c r="C1018" s="102"/>
      <c r="D1018" s="102"/>
      <c r="E1018" s="102"/>
      <c r="F1018" s="102"/>
      <c r="G1018" s="102"/>
      <c r="H1018" s="339"/>
      <c r="I1018" s="103"/>
      <c r="J1018" s="103"/>
      <c r="K1018" s="103"/>
      <c r="L1018" s="103"/>
      <c r="M1018" s="104" t="s">
        <v>447</v>
      </c>
      <c r="N1018" s="246"/>
    </row>
    <row r="1019" spans="1:14" ht="15" customHeight="1">
      <c r="A1019" s="245"/>
      <c r="B1019" s="105" t="s">
        <v>436</v>
      </c>
      <c r="C1019" s="102"/>
      <c r="D1019" s="102"/>
      <c r="E1019" s="102"/>
      <c r="F1019" s="102"/>
      <c r="G1019" s="102"/>
      <c r="H1019" s="339"/>
      <c r="I1019" s="103"/>
      <c r="J1019" s="103"/>
      <c r="K1019" s="103"/>
      <c r="L1019" s="103"/>
      <c r="M1019" s="106" t="s">
        <v>448</v>
      </c>
      <c r="N1019" s="246"/>
    </row>
    <row r="1020" spans="1:14" ht="10.199999999999999" customHeight="1">
      <c r="A1020" s="245"/>
      <c r="B1020" s="112"/>
      <c r="C1020" s="112"/>
      <c r="D1020" s="112"/>
      <c r="E1020" s="112"/>
      <c r="F1020" s="112"/>
      <c r="G1020" s="112"/>
      <c r="H1020" s="335"/>
      <c r="I1020" s="112"/>
      <c r="J1020" s="112"/>
      <c r="K1020" s="112"/>
      <c r="L1020" s="112"/>
      <c r="M1020" s="112"/>
      <c r="N1020" s="246"/>
    </row>
    <row r="1021" spans="1:14" ht="15" customHeight="1">
      <c r="A1021" s="245"/>
      <c r="B1021" s="113" t="s">
        <v>426</v>
      </c>
      <c r="C1021" s="112"/>
      <c r="D1021" s="112"/>
      <c r="E1021" s="961" t="s">
        <v>83</v>
      </c>
      <c r="F1021" s="961"/>
      <c r="G1021" s="961"/>
      <c r="H1021" s="961"/>
      <c r="I1021" s="961"/>
      <c r="J1021" s="961"/>
      <c r="K1021" s="112"/>
      <c r="L1021" s="112"/>
      <c r="M1021" s="114" t="s">
        <v>426</v>
      </c>
      <c r="N1021" s="246"/>
    </row>
    <row r="1022" spans="1:14" ht="15" customHeight="1">
      <c r="A1022" s="245"/>
      <c r="B1022" s="101" t="s">
        <v>437</v>
      </c>
      <c r="C1022" s="102"/>
      <c r="D1022" s="102"/>
      <c r="E1022" s="102"/>
      <c r="F1022" s="102"/>
      <c r="G1022" s="102"/>
      <c r="H1022" s="339"/>
      <c r="I1022" s="103"/>
      <c r="J1022" s="103"/>
      <c r="K1022" s="103"/>
      <c r="L1022" s="103"/>
      <c r="M1022" s="104" t="s">
        <v>449</v>
      </c>
      <c r="N1022" s="246"/>
    </row>
    <row r="1023" spans="1:14" ht="15" customHeight="1">
      <c r="A1023" s="245"/>
      <c r="B1023" s="105" t="s">
        <v>438</v>
      </c>
      <c r="C1023" s="102"/>
      <c r="D1023" s="102"/>
      <c r="E1023" s="102"/>
      <c r="F1023" s="102"/>
      <c r="G1023" s="102"/>
      <c r="H1023" s="339"/>
      <c r="I1023" s="103"/>
      <c r="J1023" s="103"/>
      <c r="K1023" s="103"/>
      <c r="L1023" s="103"/>
      <c r="M1023" s="106" t="s">
        <v>450</v>
      </c>
      <c r="N1023" s="246"/>
    </row>
    <row r="1024" spans="1:14" ht="10.199999999999999" customHeight="1">
      <c r="A1024" s="245"/>
      <c r="B1024" s="112"/>
      <c r="C1024" s="112"/>
      <c r="D1024" s="112"/>
      <c r="E1024" s="112"/>
      <c r="F1024" s="112"/>
      <c r="G1024" s="112"/>
      <c r="H1024" s="335"/>
      <c r="I1024" s="112"/>
      <c r="J1024" s="112"/>
      <c r="K1024" s="112"/>
      <c r="L1024" s="112"/>
      <c r="M1024" s="112"/>
      <c r="N1024" s="246"/>
    </row>
    <row r="1025" spans="1:14" ht="15" customHeight="1">
      <c r="A1025" s="245"/>
      <c r="B1025" s="113" t="s">
        <v>426</v>
      </c>
      <c r="C1025" s="112"/>
      <c r="D1025" s="112"/>
      <c r="E1025" s="961" t="s">
        <v>84</v>
      </c>
      <c r="F1025" s="961"/>
      <c r="G1025" s="961"/>
      <c r="H1025" s="961"/>
      <c r="I1025" s="961"/>
      <c r="J1025" s="961"/>
      <c r="K1025" s="112"/>
      <c r="L1025" s="112"/>
      <c r="M1025" s="114" t="s">
        <v>426</v>
      </c>
      <c r="N1025" s="246"/>
    </row>
    <row r="1026" spans="1:14" ht="15" customHeight="1">
      <c r="A1026" s="245"/>
      <c r="B1026" s="101" t="s">
        <v>439</v>
      </c>
      <c r="C1026" s="102"/>
      <c r="D1026" s="102"/>
      <c r="E1026" s="102"/>
      <c r="F1026" s="102"/>
      <c r="G1026" s="102"/>
      <c r="H1026" s="339"/>
      <c r="I1026" s="103"/>
      <c r="J1026" s="103"/>
      <c r="K1026" s="103"/>
      <c r="L1026" s="103"/>
      <c r="M1026" s="104" t="s">
        <v>451</v>
      </c>
      <c r="N1026" s="246"/>
    </row>
    <row r="1027" spans="1:14" ht="15" customHeight="1">
      <c r="A1027" s="245"/>
      <c r="B1027" s="105" t="s">
        <v>440</v>
      </c>
      <c r="C1027" s="102"/>
      <c r="D1027" s="102"/>
      <c r="E1027" s="102"/>
      <c r="F1027" s="102"/>
      <c r="G1027" s="102"/>
      <c r="H1027" s="339"/>
      <c r="I1027" s="103"/>
      <c r="J1027" s="103"/>
      <c r="K1027" s="103"/>
      <c r="L1027" s="103"/>
      <c r="M1027" s="106" t="s">
        <v>452</v>
      </c>
      <c r="N1027" s="246"/>
    </row>
    <row r="1028" spans="1:14" ht="10.199999999999999" customHeight="1">
      <c r="A1028" s="245"/>
      <c r="B1028" s="112"/>
      <c r="C1028" s="112"/>
      <c r="D1028" s="112"/>
      <c r="E1028" s="112"/>
      <c r="F1028" s="112"/>
      <c r="G1028" s="112"/>
      <c r="H1028" s="335"/>
      <c r="I1028" s="112"/>
      <c r="J1028" s="112"/>
      <c r="K1028" s="112"/>
      <c r="L1028" s="112"/>
      <c r="M1028" s="112"/>
      <c r="N1028" s="246"/>
    </row>
    <row r="1029" spans="1:14" ht="15" customHeight="1">
      <c r="A1029" s="245"/>
      <c r="B1029" s="113" t="s">
        <v>426</v>
      </c>
      <c r="C1029" s="112"/>
      <c r="D1029" s="112"/>
      <c r="E1029" s="961" t="s">
        <v>85</v>
      </c>
      <c r="F1029" s="961"/>
      <c r="G1029" s="961"/>
      <c r="H1029" s="961"/>
      <c r="I1029" s="961"/>
      <c r="J1029" s="961"/>
      <c r="K1029" s="112"/>
      <c r="L1029" s="112"/>
      <c r="M1029" s="114" t="s">
        <v>426</v>
      </c>
      <c r="N1029" s="246"/>
    </row>
    <row r="1030" spans="1:14" ht="15" customHeight="1">
      <c r="A1030" s="245"/>
      <c r="B1030" s="101" t="s">
        <v>441</v>
      </c>
      <c r="C1030" s="102"/>
      <c r="D1030" s="102"/>
      <c r="E1030" s="102"/>
      <c r="F1030" s="102"/>
      <c r="G1030" s="102"/>
      <c r="H1030" s="339"/>
      <c r="I1030" s="103"/>
      <c r="J1030" s="103"/>
      <c r="K1030" s="103"/>
      <c r="L1030" s="103"/>
      <c r="M1030" s="104" t="s">
        <v>453</v>
      </c>
      <c r="N1030" s="246"/>
    </row>
    <row r="1031" spans="1:14" ht="15" customHeight="1">
      <c r="A1031" s="245"/>
      <c r="B1031" s="105" t="s">
        <v>442</v>
      </c>
      <c r="C1031" s="102"/>
      <c r="D1031" s="102"/>
      <c r="E1031" s="102"/>
      <c r="F1031" s="102"/>
      <c r="G1031" s="102"/>
      <c r="H1031" s="339"/>
      <c r="I1031" s="103"/>
      <c r="J1031" s="103"/>
      <c r="K1031" s="103"/>
      <c r="L1031" s="103"/>
      <c r="M1031" s="106" t="s">
        <v>454</v>
      </c>
      <c r="N1031" s="246"/>
    </row>
    <row r="1032" spans="1:14" ht="10.199999999999999" customHeight="1">
      <c r="A1032" s="245"/>
      <c r="B1032" s="112"/>
      <c r="C1032" s="112"/>
      <c r="D1032" s="112"/>
      <c r="E1032" s="112"/>
      <c r="F1032" s="112"/>
      <c r="G1032" s="112"/>
      <c r="H1032" s="335"/>
      <c r="I1032" s="112"/>
      <c r="J1032" s="112"/>
      <c r="K1032" s="112"/>
      <c r="L1032" s="112"/>
      <c r="M1032" s="112"/>
      <c r="N1032" s="246"/>
    </row>
    <row r="1033" spans="1:14" ht="15" customHeight="1">
      <c r="A1033" s="245"/>
      <c r="B1033" s="113" t="s">
        <v>426</v>
      </c>
      <c r="C1033" s="112"/>
      <c r="D1033" s="112"/>
      <c r="E1033" s="961" t="s">
        <v>86</v>
      </c>
      <c r="F1033" s="961"/>
      <c r="G1033" s="961"/>
      <c r="H1033" s="961"/>
      <c r="I1033" s="961"/>
      <c r="J1033" s="961"/>
      <c r="K1033" s="112"/>
      <c r="L1033" s="112"/>
      <c r="M1033" s="114" t="s">
        <v>426</v>
      </c>
      <c r="N1033" s="246"/>
    </row>
    <row r="1034" spans="1:14" ht="15" customHeight="1">
      <c r="A1034" s="245"/>
      <c r="B1034" s="101" t="s">
        <v>443</v>
      </c>
      <c r="C1034" s="102"/>
      <c r="D1034" s="102"/>
      <c r="E1034" s="102"/>
      <c r="F1034" s="102"/>
      <c r="G1034" s="102"/>
      <c r="H1034" s="339"/>
      <c r="I1034" s="103"/>
      <c r="J1034" s="103"/>
      <c r="K1034" s="103"/>
      <c r="L1034" s="103"/>
      <c r="M1034" s="104" t="s">
        <v>455</v>
      </c>
      <c r="N1034" s="246"/>
    </row>
    <row r="1035" spans="1:14" ht="15" customHeight="1">
      <c r="A1035" s="245"/>
      <c r="B1035" s="105" t="s">
        <v>444</v>
      </c>
      <c r="C1035" s="102"/>
      <c r="D1035" s="102"/>
      <c r="E1035" s="102"/>
      <c r="F1035" s="102"/>
      <c r="G1035" s="102"/>
      <c r="H1035" s="339"/>
      <c r="I1035" s="103"/>
      <c r="J1035" s="103"/>
      <c r="K1035" s="103"/>
      <c r="L1035" s="103"/>
      <c r="M1035" s="106" t="s">
        <v>456</v>
      </c>
      <c r="N1035" s="246"/>
    </row>
    <row r="1036" spans="1:14" ht="10.199999999999999" customHeight="1">
      <c r="A1036" s="245"/>
      <c r="B1036" s="112"/>
      <c r="C1036" s="112"/>
      <c r="D1036" s="112"/>
      <c r="E1036" s="112"/>
      <c r="F1036" s="112"/>
      <c r="G1036" s="112"/>
      <c r="H1036" s="335"/>
      <c r="I1036" s="112"/>
      <c r="J1036" s="112"/>
      <c r="K1036" s="112"/>
      <c r="L1036" s="112"/>
      <c r="M1036" s="112"/>
      <c r="N1036" s="246"/>
    </row>
    <row r="1037" spans="1:14" ht="15" customHeight="1">
      <c r="A1037" s="245"/>
      <c r="B1037" s="113" t="s">
        <v>426</v>
      </c>
      <c r="C1037" s="112"/>
      <c r="D1037" s="112"/>
      <c r="E1037" s="961" t="s">
        <v>639</v>
      </c>
      <c r="F1037" s="961"/>
      <c r="G1037" s="961"/>
      <c r="H1037" s="961"/>
      <c r="I1037" s="961"/>
      <c r="J1037" s="961"/>
      <c r="K1037" s="112"/>
      <c r="L1037" s="112"/>
      <c r="M1037" s="114" t="s">
        <v>426</v>
      </c>
      <c r="N1037" s="246"/>
    </row>
    <row r="1038" spans="1:14" ht="15" customHeight="1">
      <c r="A1038" s="245"/>
      <c r="B1038" s="101" t="s">
        <v>416</v>
      </c>
      <c r="C1038" s="102"/>
      <c r="D1038" s="102"/>
      <c r="E1038" s="102"/>
      <c r="F1038" s="102"/>
      <c r="G1038" s="102"/>
      <c r="H1038" s="339"/>
      <c r="I1038" s="103"/>
      <c r="J1038" s="103"/>
      <c r="K1038" s="103"/>
      <c r="L1038" s="103"/>
      <c r="M1038" s="104" t="s">
        <v>418</v>
      </c>
      <c r="N1038" s="246"/>
    </row>
    <row r="1039" spans="1:14" ht="15" customHeight="1">
      <c r="A1039" s="245"/>
      <c r="B1039" s="105" t="s">
        <v>417</v>
      </c>
      <c r="C1039" s="102"/>
      <c r="D1039" s="102"/>
      <c r="E1039" s="102"/>
      <c r="F1039" s="102"/>
      <c r="G1039" s="102"/>
      <c r="H1039" s="339"/>
      <c r="I1039" s="103"/>
      <c r="J1039" s="103"/>
      <c r="K1039" s="103"/>
      <c r="L1039" s="103"/>
      <c r="M1039" s="106" t="s">
        <v>419</v>
      </c>
      <c r="N1039" s="246"/>
    </row>
    <row r="1040" spans="1:14" ht="4.95" customHeight="1">
      <c r="A1040" s="245"/>
      <c r="B1040" s="112"/>
      <c r="C1040" s="112"/>
      <c r="D1040" s="112"/>
      <c r="E1040" s="112"/>
      <c r="F1040" s="112"/>
      <c r="G1040" s="112"/>
      <c r="H1040" s="335"/>
      <c r="I1040" s="112"/>
      <c r="J1040" s="112"/>
      <c r="K1040" s="112"/>
      <c r="L1040" s="112"/>
      <c r="M1040" s="112"/>
      <c r="N1040" s="246"/>
    </row>
    <row r="1041" spans="1:79" ht="15" customHeight="1">
      <c r="A1041" s="245"/>
      <c r="B1041" s="1174" t="s">
        <v>457</v>
      </c>
      <c r="C1041" s="1174"/>
      <c r="D1041" s="1174"/>
      <c r="E1041" s="1174"/>
      <c r="F1041" s="1174"/>
      <c r="G1041" s="1174"/>
      <c r="H1041" s="1175" t="s">
        <v>458</v>
      </c>
      <c r="I1041" s="1175"/>
      <c r="J1041" s="1175"/>
      <c r="K1041" s="1175"/>
      <c r="L1041" s="1175"/>
      <c r="M1041" s="1175"/>
      <c r="N1041" s="246"/>
    </row>
    <row r="1042" spans="1:79" ht="15" customHeight="1">
      <c r="A1042" s="245"/>
      <c r="B1042" s="1174"/>
      <c r="C1042" s="1174"/>
      <c r="D1042" s="1174"/>
      <c r="E1042" s="1174"/>
      <c r="F1042" s="1174"/>
      <c r="G1042" s="1174"/>
      <c r="H1042" s="1175"/>
      <c r="I1042" s="1175"/>
      <c r="J1042" s="1175"/>
      <c r="K1042" s="1175"/>
      <c r="L1042" s="1175"/>
      <c r="M1042" s="1175"/>
      <c r="N1042" s="246"/>
    </row>
    <row r="1043" spans="1:79" ht="4.95" customHeight="1">
      <c r="A1043" s="247"/>
      <c r="B1043" s="248"/>
      <c r="C1043" s="248"/>
      <c r="D1043" s="248"/>
      <c r="E1043" s="248"/>
      <c r="F1043" s="248"/>
      <c r="G1043" s="248"/>
      <c r="H1043" s="338"/>
      <c r="I1043" s="248"/>
      <c r="J1043" s="248"/>
      <c r="K1043" s="248"/>
      <c r="L1043" s="248"/>
      <c r="M1043" s="248"/>
      <c r="N1043" s="249"/>
    </row>
    <row r="1044" spans="1:79" ht="30" customHeight="1">
      <c r="A1044" s="220" t="s">
        <v>1148</v>
      </c>
      <c r="B1044" s="913" t="s">
        <v>61</v>
      </c>
      <c r="C1044" s="913"/>
      <c r="D1044" s="913"/>
      <c r="E1044" s="913"/>
      <c r="F1044" s="913"/>
      <c r="G1044" s="913"/>
      <c r="H1044" s="913"/>
      <c r="I1044" s="913"/>
      <c r="J1044" s="913"/>
      <c r="K1044" s="913"/>
      <c r="L1044" s="913"/>
      <c r="M1044" s="222"/>
      <c r="N1044" s="223" t="s">
        <v>1149</v>
      </c>
      <c r="AC1044" s="1"/>
    </row>
    <row r="1045" spans="1:79">
      <c r="A1045" s="224"/>
      <c r="B1045" s="24"/>
      <c r="C1045" s="24"/>
      <c r="D1045" s="24"/>
      <c r="E1045" s="24"/>
      <c r="F1045" s="24"/>
      <c r="G1045" s="24"/>
      <c r="H1045" s="340"/>
      <c r="I1045" s="41"/>
      <c r="J1045" s="24"/>
      <c r="K1045" s="24"/>
      <c r="L1045" s="24"/>
      <c r="M1045" s="24"/>
      <c r="N1045" s="225"/>
      <c r="AC1045" s="1"/>
    </row>
    <row r="1046" spans="1:79" ht="14.4" thickBot="1">
      <c r="A1046" s="224"/>
      <c r="B1046" s="24"/>
      <c r="C1046" s="24"/>
      <c r="D1046" s="24"/>
      <c r="E1046" s="24"/>
      <c r="F1046" s="24"/>
      <c r="G1046" s="24"/>
      <c r="H1046" s="340"/>
      <c r="I1046" s="24"/>
      <c r="J1046" s="24"/>
      <c r="K1046" s="24"/>
      <c r="L1046" s="24"/>
      <c r="M1046" s="24"/>
      <c r="N1046" s="225"/>
      <c r="AC1046" s="1"/>
    </row>
    <row r="1047" spans="1:79" ht="45" customHeight="1" thickTop="1" thickBot="1">
      <c r="A1047" s="224"/>
      <c r="B1047" s="24"/>
      <c r="C1047" s="1176" t="s">
        <v>53</v>
      </c>
      <c r="D1047" s="1177"/>
      <c r="E1047" s="1177"/>
      <c r="F1047" s="1177"/>
      <c r="G1047" s="1177"/>
      <c r="H1047" s="1177"/>
      <c r="I1047" s="1177"/>
      <c r="J1047" s="1177"/>
      <c r="K1047" s="1177"/>
      <c r="L1047" s="1178"/>
      <c r="M1047" s="24"/>
      <c r="N1047" s="225"/>
      <c r="AC1047" s="1"/>
      <c r="BB1047" s="37" t="s">
        <v>53</v>
      </c>
      <c r="BD1047" s="37" t="s">
        <v>73</v>
      </c>
      <c r="BF1047" s="2" t="s">
        <v>991</v>
      </c>
      <c r="BH1047" s="2" t="s">
        <v>1093</v>
      </c>
    </row>
    <row r="1048" spans="1:79" ht="14.4" thickTop="1">
      <c r="A1048" s="224"/>
      <c r="B1048" s="24"/>
      <c r="C1048" s="24"/>
      <c r="D1048" s="24"/>
      <c r="E1048" s="24"/>
      <c r="F1048" s="24"/>
      <c r="G1048" s="24"/>
      <c r="H1048" s="340"/>
      <c r="I1048" s="24"/>
      <c r="J1048" s="24"/>
      <c r="K1048" s="24"/>
      <c r="L1048" s="24"/>
      <c r="M1048" s="111"/>
      <c r="N1048" s="225"/>
      <c r="AC1048" s="1"/>
      <c r="BB1048" s="37" t="s">
        <v>81</v>
      </c>
      <c r="BD1048" s="37" t="s">
        <v>74</v>
      </c>
      <c r="BF1048" s="2" t="s">
        <v>992</v>
      </c>
      <c r="BH1048" s="2" t="s">
        <v>1094</v>
      </c>
    </row>
    <row r="1049" spans="1:79" ht="30" customHeight="1">
      <c r="A1049" s="224"/>
      <c r="B1049" s="1179" t="s">
        <v>424</v>
      </c>
      <c r="C1049" s="1179"/>
      <c r="D1049" s="1112" t="s">
        <v>4</v>
      </c>
      <c r="E1049" s="1112"/>
      <c r="F1049" s="1112"/>
      <c r="G1049" s="1113" t="s">
        <v>5</v>
      </c>
      <c r="H1049" s="1113"/>
      <c r="I1049" s="1043" t="s">
        <v>6</v>
      </c>
      <c r="J1049" s="1043"/>
      <c r="K1049" s="1043"/>
      <c r="L1049" s="1111" t="s">
        <v>425</v>
      </c>
      <c r="M1049" s="1111"/>
      <c r="N1049" s="225"/>
      <c r="AC1049" s="1"/>
      <c r="AD1049" s="45"/>
      <c r="BB1049" s="37" t="s">
        <v>82</v>
      </c>
      <c r="BD1049" s="37" t="s">
        <v>75</v>
      </c>
      <c r="BF1049" s="2" t="s">
        <v>993</v>
      </c>
      <c r="BH1049" s="2" t="s">
        <v>1095</v>
      </c>
    </row>
    <row r="1050" spans="1:79" ht="30" customHeight="1">
      <c r="A1050" s="224"/>
      <c r="B1050" s="1179"/>
      <c r="C1050" s="1179"/>
      <c r="D1050" s="1112" t="s">
        <v>7</v>
      </c>
      <c r="E1050" s="1112"/>
      <c r="F1050" s="1112"/>
      <c r="G1050" s="1113" t="s">
        <v>5</v>
      </c>
      <c r="H1050" s="1113"/>
      <c r="I1050" s="1043" t="s">
        <v>8</v>
      </c>
      <c r="J1050" s="1043"/>
      <c r="K1050" s="1043"/>
      <c r="L1050" s="1111"/>
      <c r="M1050" s="1111"/>
      <c r="N1050" s="225"/>
      <c r="AC1050" s="1"/>
      <c r="BB1050" s="37" t="s">
        <v>83</v>
      </c>
      <c r="BD1050" s="37" t="s">
        <v>76</v>
      </c>
      <c r="BF1050" s="2" t="s">
        <v>994</v>
      </c>
      <c r="BH1050" s="2" t="s">
        <v>1096</v>
      </c>
    </row>
    <row r="1051" spans="1:79" ht="30" customHeight="1">
      <c r="A1051" s="224"/>
      <c r="B1051" s="1179"/>
      <c r="C1051" s="1179"/>
      <c r="D1051" s="1112" t="s">
        <v>9</v>
      </c>
      <c r="E1051" s="1112"/>
      <c r="F1051" s="1112"/>
      <c r="G1051" s="1113" t="s">
        <v>5</v>
      </c>
      <c r="H1051" s="1113"/>
      <c r="I1051" s="1043" t="s">
        <v>10</v>
      </c>
      <c r="J1051" s="1043"/>
      <c r="K1051" s="1043"/>
      <c r="L1051" s="1111"/>
      <c r="M1051" s="1111"/>
      <c r="N1051" s="225"/>
      <c r="AC1051" s="1"/>
      <c r="BB1051" s="37" t="s">
        <v>84</v>
      </c>
      <c r="BD1051" s="37" t="s">
        <v>77</v>
      </c>
      <c r="BF1051" s="2" t="s">
        <v>995</v>
      </c>
      <c r="BH1051" s="2" t="s">
        <v>1097</v>
      </c>
    </row>
    <row r="1052" spans="1:79">
      <c r="A1052" s="224"/>
      <c r="B1052" s="24"/>
      <c r="C1052" s="24"/>
      <c r="D1052" s="24"/>
      <c r="E1052" s="24"/>
      <c r="F1052" s="24"/>
      <c r="G1052" s="24"/>
      <c r="H1052" s="340"/>
      <c r="I1052" s="24"/>
      <c r="J1052" s="24"/>
      <c r="K1052" s="24"/>
      <c r="L1052" s="24"/>
      <c r="M1052" s="24"/>
      <c r="N1052" s="225"/>
      <c r="AC1052" s="1"/>
      <c r="BB1052" s="37" t="s">
        <v>85</v>
      </c>
      <c r="BD1052" s="37" t="s">
        <v>78</v>
      </c>
      <c r="BF1052" s="2" t="s">
        <v>996</v>
      </c>
      <c r="BH1052" s="2" t="s">
        <v>1098</v>
      </c>
    </row>
    <row r="1053" spans="1:79" ht="14.4" thickBot="1">
      <c r="A1053" s="224"/>
      <c r="B1053" s="24"/>
      <c r="C1053" s="24"/>
      <c r="D1053" s="24"/>
      <c r="E1053" s="24"/>
      <c r="F1053" s="24"/>
      <c r="G1053" s="24"/>
      <c r="H1053" s="340"/>
      <c r="I1053" s="24"/>
      <c r="J1053" s="24"/>
      <c r="K1053" s="24"/>
      <c r="L1053" s="24"/>
      <c r="M1053" s="24"/>
      <c r="N1053" s="225"/>
      <c r="AC1053" s="1"/>
      <c r="BB1053" s="37" t="s">
        <v>86</v>
      </c>
      <c r="BD1053" s="37" t="s">
        <v>79</v>
      </c>
      <c r="BF1053" s="2" t="s">
        <v>997</v>
      </c>
      <c r="BH1053" s="2" t="s">
        <v>1099</v>
      </c>
    </row>
    <row r="1054" spans="1:79" ht="30" customHeight="1" thickTop="1">
      <c r="A1054" s="224"/>
      <c r="B1054" s="1026" t="s">
        <v>948</v>
      </c>
      <c r="C1054" s="1027"/>
      <c r="D1054" s="1027"/>
      <c r="E1054" s="1027"/>
      <c r="F1054" s="1027"/>
      <c r="G1054" s="1028"/>
      <c r="H1054" s="1249" t="s">
        <v>949</v>
      </c>
      <c r="I1054" s="1250"/>
      <c r="J1054" s="1250"/>
      <c r="K1054" s="1250"/>
      <c r="L1054" s="1250"/>
      <c r="M1054" s="1251"/>
      <c r="N1054" s="225"/>
      <c r="AC1054" s="1"/>
      <c r="BB1054" s="37" t="s">
        <v>1207</v>
      </c>
      <c r="BD1054" s="37" t="s">
        <v>80</v>
      </c>
      <c r="BF1054" s="2" t="s">
        <v>998</v>
      </c>
      <c r="BH1054" s="2" t="s">
        <v>1100</v>
      </c>
    </row>
    <row r="1055" spans="1:79" ht="30" customHeight="1" thickBot="1">
      <c r="A1055" s="224"/>
      <c r="B1055" s="1029" t="str">
        <f>BB1055</f>
        <v>EASY ENTRY</v>
      </c>
      <c r="C1055" s="1030"/>
      <c r="D1055" s="1030"/>
      <c r="E1055" s="1030"/>
      <c r="F1055" s="1030"/>
      <c r="G1055" s="1031"/>
      <c r="H1055" s="1252" t="str">
        <f>BB1056</f>
        <v>VETTED ENTRY</v>
      </c>
      <c r="I1055" s="1253"/>
      <c r="J1055" s="1253"/>
      <c r="K1055" s="1253"/>
      <c r="L1055" s="1253"/>
      <c r="M1055" s="1254"/>
      <c r="N1055" s="225"/>
      <c r="AC1055" s="1"/>
      <c r="BB1055" s="2" t="str">
        <f>IF($C$1047=BB$1047,BE1055,IF($C$1047=BB$1048,BF1055,IF($C$1047=BB$1049,BG1055,IF($C$1047=BB$1050,BH1055,IF($C$1047=BB$1051,BI1055,IF($C$1047=BB$1052,BJ1055,IF($C$1047=BB$1053,BK1055,IF($C$1047=BB$1054,BL1055,""))))))))</f>
        <v>EASY ENTRY</v>
      </c>
      <c r="BD1055" s="48" t="s">
        <v>133</v>
      </c>
      <c r="BE1055" s="2" t="s">
        <v>135</v>
      </c>
      <c r="BF1055" s="2" t="s">
        <v>137</v>
      </c>
      <c r="BG1055" s="2" t="s">
        <v>138</v>
      </c>
      <c r="BH1055" s="2" t="s">
        <v>141</v>
      </c>
      <c r="BI1055" s="2" t="s">
        <v>142</v>
      </c>
      <c r="BJ1055" s="2" t="s">
        <v>144</v>
      </c>
      <c r="BK1055" s="2" t="s">
        <v>146</v>
      </c>
      <c r="BL1055" s="2" t="s">
        <v>148</v>
      </c>
      <c r="BT1055" s="37" t="s">
        <v>66</v>
      </c>
      <c r="BU1055" s="37" t="s">
        <v>67</v>
      </c>
    </row>
    <row r="1056" spans="1:79" ht="16.8" thickTop="1">
      <c r="A1056" s="224"/>
      <c r="B1056" s="24"/>
      <c r="C1056" s="24"/>
      <c r="D1056" s="24"/>
      <c r="E1056" s="24"/>
      <c r="F1056" s="24"/>
      <c r="G1056" s="24"/>
      <c r="H1056" s="340"/>
      <c r="I1056" s="24"/>
      <c r="J1056" s="24"/>
      <c r="K1056" s="24"/>
      <c r="L1056" s="24"/>
      <c r="M1056" s="24"/>
      <c r="N1056" s="225"/>
      <c r="AC1056" s="1"/>
      <c r="BB1056" s="2" t="str">
        <f>IF($C$1047=BB$1047,BE1056,IF($C$1047=BB$1048,BF1056,IF($C$1047=BB$1049,BG1056,IF($C$1047=BB$1050,BH1056,IF($C$1047=BB$1051,BI1056,IF($C$1047=BB$1052,BJ1056,IF($C$1047=BB$1053,BK1056,IF($C$1047=BB$1054,BL1056,""))))))))</f>
        <v>VETTED ENTRY</v>
      </c>
      <c r="BD1056" s="48" t="s">
        <v>134</v>
      </c>
      <c r="BE1056" s="2" t="s">
        <v>136</v>
      </c>
      <c r="BF1056" s="2" t="s">
        <v>976</v>
      </c>
      <c r="BG1056" s="2" t="s">
        <v>139</v>
      </c>
      <c r="BH1056" s="2" t="s">
        <v>140</v>
      </c>
      <c r="BI1056" s="2" t="s">
        <v>143</v>
      </c>
      <c r="BJ1056" s="2" t="s">
        <v>145</v>
      </c>
      <c r="BK1056" s="2" t="s">
        <v>147</v>
      </c>
      <c r="BL1056" s="2" t="s">
        <v>149</v>
      </c>
      <c r="BT1056" s="39" t="s">
        <v>557</v>
      </c>
      <c r="BU1056" s="38" t="s">
        <v>571</v>
      </c>
      <c r="BV1056" s="2" t="str">
        <f>CONCATENATE(BW1056,BX1056,BY1056,CA1056)</f>
        <v>Resolving 0 more than resolving 0</v>
      </c>
      <c r="BW1056" s="2" t="s">
        <v>555</v>
      </c>
      <c r="BX1056" s="2">
        <f>$B$173</f>
        <v>0</v>
      </c>
      <c r="BY1056" s="2" t="s">
        <v>556</v>
      </c>
      <c r="CA1056" s="2">
        <f>$H$173</f>
        <v>0</v>
      </c>
    </row>
    <row r="1057" spans="1:79">
      <c r="A1057" s="224"/>
      <c r="B1057" s="24"/>
      <c r="C1057" s="24"/>
      <c r="D1057" s="24"/>
      <c r="E1057" s="24"/>
      <c r="F1057" s="24"/>
      <c r="G1057" s="24"/>
      <c r="H1057" s="340"/>
      <c r="I1057" s="24"/>
      <c r="J1057" s="24"/>
      <c r="K1057" s="24"/>
      <c r="L1057" s="24"/>
      <c r="M1057" s="24"/>
      <c r="N1057" s="225"/>
      <c r="AC1057" s="1"/>
      <c r="BT1057" s="39" t="s">
        <v>558</v>
      </c>
      <c r="BU1057" s="38" t="s">
        <v>572</v>
      </c>
      <c r="BV1057" s="2" t="str">
        <f>CONCATENATE(BW1057,CA1057,BY1057,BX1057)</f>
        <v>Resolving 0 more than resolving 0</v>
      </c>
      <c r="BW1057" s="2" t="s">
        <v>555</v>
      </c>
      <c r="BX1057" s="2">
        <f>$B$173</f>
        <v>0</v>
      </c>
      <c r="BY1057" s="2" t="s">
        <v>556</v>
      </c>
      <c r="CA1057" s="2">
        <f>$H$173</f>
        <v>0</v>
      </c>
    </row>
    <row r="1058" spans="1:79" ht="19.95" customHeight="1" thickBot="1">
      <c r="A1058" s="224"/>
      <c r="B1058" s="160" t="s">
        <v>4</v>
      </c>
      <c r="C1058" s="161"/>
      <c r="D1058" s="161"/>
      <c r="E1058" s="161"/>
      <c r="F1058" s="161"/>
      <c r="G1058" s="161"/>
      <c r="H1058" s="341"/>
      <c r="I1058" s="161"/>
      <c r="J1058" s="161"/>
      <c r="K1058" s="161"/>
      <c r="L1058" s="161"/>
      <c r="M1058" s="162" t="str">
        <f>B1058</f>
        <v>ARGUE</v>
      </c>
      <c r="N1058" s="225"/>
      <c r="AC1058" s="1"/>
      <c r="BE1058" s="49" t="str">
        <f>BD1047</f>
        <v>IMM</v>
      </c>
      <c r="BF1058" s="49" t="str">
        <f>BD1048</f>
        <v>CLI</v>
      </c>
      <c r="BG1058" s="49" t="str">
        <f>BD1049</f>
        <v>GUN</v>
      </c>
      <c r="BH1058" s="49" t="str">
        <f>BD1050</f>
        <v>ABO</v>
      </c>
      <c r="BI1058" s="49" t="str">
        <f>BD1051</f>
        <v>HEA</v>
      </c>
      <c r="BJ1058" s="49" t="str">
        <f>BD1052</f>
        <v>CRI</v>
      </c>
      <c r="BK1058" s="49" t="str">
        <f>BD1053</f>
        <v>ECO</v>
      </c>
      <c r="BL1058" s="49" t="str">
        <f>BD1054</f>
        <v>RAC</v>
      </c>
      <c r="BM1058" s="47" t="s">
        <v>3</v>
      </c>
      <c r="BT1058" s="39" t="s">
        <v>559</v>
      </c>
      <c r="BU1058" s="38" t="s">
        <v>573</v>
      </c>
    </row>
    <row r="1059" spans="1:79" ht="19.95" customHeight="1">
      <c r="A1059" s="224"/>
      <c r="B1059" s="1242" t="str">
        <f>BB1059</f>
        <v>No one is “illegal” and national borders reinforce discriminatory systems like racism and classism, usually against people exploited by US foreign interventions.</v>
      </c>
      <c r="C1059" s="1243"/>
      <c r="D1059" s="1243"/>
      <c r="E1059" s="1243"/>
      <c r="F1059" s="1243"/>
      <c r="G1059" s="1243"/>
      <c r="H1059" s="1105" t="str">
        <f>BB1060</f>
        <v xml:space="preserve">Migrants exploit loopholes in our outmoded immigration laws, or evade the law entirely, often with violent results and other harmful consequences. </v>
      </c>
      <c r="I1059" s="1105"/>
      <c r="J1059" s="1105"/>
      <c r="K1059" s="1105"/>
      <c r="L1059" s="1105"/>
      <c r="M1059" s="1106"/>
      <c r="N1059" s="225"/>
      <c r="AC1059" s="1"/>
      <c r="BB1059" s="2" t="str">
        <f>IF($C$1047=$BB$1047,BE1059,IF($C$1047=$BB$1048,BF1059,IF($C$1047=$BB$1049,BG1059,IF($C$1047=$BB$1050,BH1059,IF($C$1047=$BB$1051,BI1059,IF($C$1047=$BB$1052,BJ1059,IF($C$1047=$BB$1053,BK1059,IF($C$1047=$BB$1054,BL1059,""))))))))</f>
        <v>No one is “illegal” and national borders reinforce discriminatory systems like racism and classism, usually against people exploited by US foreign interventions.</v>
      </c>
      <c r="BD1059" s="48" t="s">
        <v>89</v>
      </c>
      <c r="BE1059" s="2" t="s">
        <v>88</v>
      </c>
      <c r="BF1059" s="2" t="s">
        <v>101</v>
      </c>
      <c r="BG1059" s="2" t="s">
        <v>102</v>
      </c>
      <c r="BH1059" s="2" t="s">
        <v>103</v>
      </c>
      <c r="BI1059" s="2" t="s">
        <v>104</v>
      </c>
      <c r="BJ1059" s="2" t="s">
        <v>105</v>
      </c>
      <c r="BK1059" s="2" t="s">
        <v>106</v>
      </c>
      <c r="BL1059" s="2" t="s">
        <v>107</v>
      </c>
      <c r="BM1059" s="47" t="s">
        <v>3</v>
      </c>
      <c r="BT1059" s="39" t="s">
        <v>560</v>
      </c>
      <c r="BU1059" s="38" t="s">
        <v>574</v>
      </c>
    </row>
    <row r="1060" spans="1:79" ht="19.95" customHeight="1">
      <c r="A1060" s="224"/>
      <c r="B1060" s="1244"/>
      <c r="C1060" s="1245"/>
      <c r="D1060" s="1245"/>
      <c r="E1060" s="1245"/>
      <c r="F1060" s="1245"/>
      <c r="G1060" s="1245"/>
      <c r="H1060" s="1107"/>
      <c r="I1060" s="1107"/>
      <c r="J1060" s="1107"/>
      <c r="K1060" s="1107"/>
      <c r="L1060" s="1107"/>
      <c r="M1060" s="1108"/>
      <c r="N1060" s="225"/>
      <c r="AC1060" s="1"/>
      <c r="BB1060" s="2" t="str">
        <f>IF($C$1047=$BB$1047,BE1060,IF($C$1047=$BB$1048,BF1060,IF($C$1047=$BB$1049,BG1060,IF($C$1047=$BB$1050,BH1060,IF($C$1047=$BB$1051,BI1060,IF($C$1047=$BB$1052,BJ1060,IF($C$1047=$BB$1053,BK1060,IF($C$1047=$BB$1054,BL1060,""))))))))</f>
        <v xml:space="preserve">Migrants exploit loopholes in our outmoded immigration laws, or evade the law entirely, often with violent results and other harmful consequences. </v>
      </c>
      <c r="BD1060" s="48" t="s">
        <v>90</v>
      </c>
      <c r="BE1060" s="2" t="s">
        <v>87</v>
      </c>
      <c r="BF1060" s="2" t="s">
        <v>108</v>
      </c>
      <c r="BG1060" s="2" t="s">
        <v>109</v>
      </c>
      <c r="BH1060" s="2" t="s">
        <v>110</v>
      </c>
      <c r="BI1060" s="2" t="s">
        <v>111</v>
      </c>
      <c r="BJ1060" s="2" t="s">
        <v>112</v>
      </c>
      <c r="BK1060" s="2" t="s">
        <v>113</v>
      </c>
      <c r="BL1060" s="2" t="s">
        <v>114</v>
      </c>
      <c r="BM1060" s="47" t="s">
        <v>3</v>
      </c>
      <c r="BT1060" s="39" t="s">
        <v>561</v>
      </c>
      <c r="BU1060" s="38" t="s">
        <v>575</v>
      </c>
    </row>
    <row r="1061" spans="1:79" ht="19.95" customHeight="1">
      <c r="A1061" s="224"/>
      <c r="B1061" s="1244"/>
      <c r="C1061" s="1245"/>
      <c r="D1061" s="1245"/>
      <c r="E1061" s="1245"/>
      <c r="F1061" s="1245"/>
      <c r="G1061" s="1245"/>
      <c r="H1061" s="1107"/>
      <c r="I1061" s="1107"/>
      <c r="J1061" s="1107"/>
      <c r="K1061" s="1107"/>
      <c r="L1061" s="1107"/>
      <c r="M1061" s="1108"/>
      <c r="N1061" s="225"/>
      <c r="AC1061" s="1"/>
      <c r="BM1061" s="47" t="s">
        <v>3</v>
      </c>
      <c r="BT1061" s="39" t="s">
        <v>562</v>
      </c>
      <c r="BU1061" s="130" t="s">
        <v>181</v>
      </c>
      <c r="BW1061" s="2" t="str">
        <f>IF($B$176=BV1056,BX1064,BX1068)</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62" spans="1:79" ht="19.95" customHeight="1">
      <c r="A1062" s="224"/>
      <c r="B1062" s="1244"/>
      <c r="C1062" s="1245"/>
      <c r="D1062" s="1245"/>
      <c r="E1062" s="1245"/>
      <c r="F1062" s="1245"/>
      <c r="G1062" s="1245"/>
      <c r="H1062" s="1107"/>
      <c r="I1062" s="1107"/>
      <c r="J1062" s="1107"/>
      <c r="K1062" s="1107"/>
      <c r="L1062" s="1107"/>
      <c r="M1062" s="1108"/>
      <c r="N1062" s="225"/>
      <c r="AC1062" s="1"/>
      <c r="BM1062" s="47" t="s">
        <v>3</v>
      </c>
      <c r="BT1062" s="39" t="s">
        <v>563</v>
      </c>
      <c r="BU1062" s="38" t="s">
        <v>576</v>
      </c>
      <c r="BW1062" s="2" t="str">
        <f>IF($B$176=BV1057,BX1068,BX1064)</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63" spans="1:79" ht="19.95" customHeight="1" thickBot="1">
      <c r="A1063" s="224"/>
      <c r="B1063" s="1255"/>
      <c r="C1063" s="1256"/>
      <c r="D1063" s="1256"/>
      <c r="E1063" s="1256"/>
      <c r="F1063" s="1256"/>
      <c r="G1063" s="1256"/>
      <c r="H1063" s="1109"/>
      <c r="I1063" s="1109"/>
      <c r="J1063" s="1109"/>
      <c r="K1063" s="1109"/>
      <c r="L1063" s="1109"/>
      <c r="M1063" s="1110"/>
      <c r="N1063" s="225"/>
      <c r="AC1063" s="1"/>
      <c r="BM1063" s="47" t="s">
        <v>3</v>
      </c>
      <c r="BT1063" s="39" t="s">
        <v>564</v>
      </c>
      <c r="BU1063" s="38" t="s">
        <v>577</v>
      </c>
    </row>
    <row r="1064" spans="1:79" ht="19.95" customHeight="1" thickBot="1">
      <c r="A1064" s="224"/>
      <c r="B1064" s="160" t="s">
        <v>7</v>
      </c>
      <c r="C1064" s="161"/>
      <c r="D1064" s="161"/>
      <c r="E1064" s="161"/>
      <c r="F1064" s="161"/>
      <c r="G1064" s="161"/>
      <c r="H1064" s="341"/>
      <c r="I1064" s="161"/>
      <c r="J1064" s="161"/>
      <c r="K1064" s="161"/>
      <c r="L1064" s="161"/>
      <c r="M1064" s="162" t="str">
        <f>B1064</f>
        <v>REJECT</v>
      </c>
      <c r="N1064" s="225"/>
      <c r="AC1064" s="1"/>
      <c r="BE1064" s="49" t="str">
        <f>BE1058</f>
        <v>IMM</v>
      </c>
      <c r="BF1064" s="49" t="str">
        <f t="shared" ref="BF1064:BL1064" si="7">BF1058</f>
        <v>CLI</v>
      </c>
      <c r="BG1064" s="49" t="str">
        <f t="shared" si="7"/>
        <v>GUN</v>
      </c>
      <c r="BH1064" s="49" t="str">
        <f t="shared" si="7"/>
        <v>ABO</v>
      </c>
      <c r="BI1064" s="49" t="str">
        <f t="shared" si="7"/>
        <v>HEA</v>
      </c>
      <c r="BJ1064" s="49" t="str">
        <f t="shared" si="7"/>
        <v>CRI</v>
      </c>
      <c r="BK1064" s="49" t="str">
        <f t="shared" si="7"/>
        <v>ECO</v>
      </c>
      <c r="BL1064" s="49" t="str">
        <f t="shared" si="7"/>
        <v>RAC</v>
      </c>
      <c r="BM1064" s="47" t="s">
        <v>3</v>
      </c>
      <c r="BT1064" s="39" t="s">
        <v>565</v>
      </c>
      <c r="BU1064" s="38" t="s">
        <v>578</v>
      </c>
      <c r="BX1064" s="2" t="str">
        <f>CONCATENATE(BY1065,BY1066,BY1067)</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65" spans="1:79" ht="19.95" customHeight="1">
      <c r="A1065" s="224"/>
      <c r="B1065" s="1242" t="str">
        <f>BB1065</f>
        <v>Republicans who oppose undocumented migrants are essentially racist.</v>
      </c>
      <c r="C1065" s="1243"/>
      <c r="D1065" s="1243"/>
      <c r="E1065" s="1243"/>
      <c r="F1065" s="1243"/>
      <c r="G1065" s="1243"/>
      <c r="H1065" s="1105" t="str">
        <f>BB1066</f>
        <v>Democrats who actively protect illegal aliens are essentially lawless.</v>
      </c>
      <c r="I1065" s="1105"/>
      <c r="J1065" s="1105"/>
      <c r="K1065" s="1105"/>
      <c r="L1065" s="1105"/>
      <c r="M1065" s="1106"/>
      <c r="N1065" s="225"/>
      <c r="AC1065" s="1"/>
      <c r="BB1065" s="2" t="str">
        <f>IF($C$1047=$BB$1047,BE1065,IF($C$1047=$BB$1048,BF1065,IF($C$1047=$BB$1049,BG1065,IF($C$1047=$BB$1050,BH1065,IF($C$1047=$BB$1051,BI1065,IF($C$1047=$BB$1052,BJ1065,IF($C$1047=$BB$1053,BK1065,IF($C$1047=$BB$1054,BL1065,""))))))))</f>
        <v>Republicans who oppose undocumented migrants are essentially racist.</v>
      </c>
      <c r="BD1065" s="48" t="s">
        <v>91</v>
      </c>
      <c r="BE1065" s="2" t="s">
        <v>131</v>
      </c>
      <c r="BF1065" s="2" t="s">
        <v>157</v>
      </c>
      <c r="BG1065" s="2" t="s">
        <v>160</v>
      </c>
      <c r="BH1065" s="46" t="s">
        <v>263</v>
      </c>
      <c r="BI1065" s="2" t="s">
        <v>150</v>
      </c>
      <c r="BJ1065" s="2" t="s">
        <v>152</v>
      </c>
      <c r="BK1065" s="2" t="s">
        <v>154</v>
      </c>
      <c r="BL1065" s="2" t="s">
        <v>156</v>
      </c>
      <c r="BM1065" s="47" t="s">
        <v>3</v>
      </c>
      <c r="BT1065" s="39" t="s">
        <v>200</v>
      </c>
      <c r="BU1065" s="38" t="s">
        <v>579</v>
      </c>
      <c r="BY1065" s="2" t="s">
        <v>746</v>
      </c>
    </row>
    <row r="1066" spans="1:79" ht="19.95" customHeight="1">
      <c r="A1066" s="224"/>
      <c r="B1066" s="1244"/>
      <c r="C1066" s="1245"/>
      <c r="D1066" s="1245"/>
      <c r="E1066" s="1245"/>
      <c r="F1066" s="1245"/>
      <c r="G1066" s="1245"/>
      <c r="H1066" s="1107"/>
      <c r="I1066" s="1107"/>
      <c r="J1066" s="1107"/>
      <c r="K1066" s="1107"/>
      <c r="L1066" s="1107"/>
      <c r="M1066" s="1108"/>
      <c r="N1066" s="225"/>
      <c r="AC1066" s="1"/>
      <c r="BB1066" s="2" t="str">
        <f>IF($C$1047=$BB$1047,BE1066,IF($C$1047=$BB$1048,BF1066,IF($C$1047=$BB$1049,BG1066,IF($C$1047=$BB$1050,BH1066,IF($C$1047=$BB$1051,BI1066,IF($C$1047=$BB$1052,BJ1066,IF($C$1047=$BB$1053,BK1066,IF($C$1047=$BB$1054,BL1066,""))))))))</f>
        <v>Democrats who actively protect illegal aliens are essentially lawless.</v>
      </c>
      <c r="BD1066" s="48" t="s">
        <v>92</v>
      </c>
      <c r="BE1066" s="2" t="s">
        <v>132</v>
      </c>
      <c r="BF1066" s="2" t="s">
        <v>158</v>
      </c>
      <c r="BG1066" s="2" t="s">
        <v>161</v>
      </c>
      <c r="BH1066" s="46" t="s">
        <v>264</v>
      </c>
      <c r="BI1066" s="2" t="s">
        <v>151</v>
      </c>
      <c r="BJ1066" s="2" t="s">
        <v>153</v>
      </c>
      <c r="BK1066" s="2" t="s">
        <v>155</v>
      </c>
      <c r="BL1066" s="2" t="s">
        <v>162</v>
      </c>
      <c r="BM1066" s="47" t="s">
        <v>3</v>
      </c>
      <c r="BT1066" s="39" t="s">
        <v>566</v>
      </c>
      <c r="BU1066" s="38" t="s">
        <v>580</v>
      </c>
      <c r="BY1066" s="2" t="s">
        <v>748</v>
      </c>
    </row>
    <row r="1067" spans="1:79" ht="19.95" customHeight="1" thickBot="1">
      <c r="A1067" s="224"/>
      <c r="B1067" s="1246"/>
      <c r="C1067" s="1247"/>
      <c r="D1067" s="1247"/>
      <c r="E1067" s="1247"/>
      <c r="F1067" s="1247"/>
      <c r="G1067" s="1247"/>
      <c r="H1067" s="1109"/>
      <c r="I1067" s="1109"/>
      <c r="J1067" s="1109"/>
      <c r="K1067" s="1109"/>
      <c r="L1067" s="1109"/>
      <c r="M1067" s="1110"/>
      <c r="N1067" s="225"/>
      <c r="AC1067" s="1"/>
      <c r="BM1067" s="47" t="s">
        <v>3</v>
      </c>
      <c r="BT1067" s="39" t="s">
        <v>567</v>
      </c>
      <c r="BU1067" s="38" t="s">
        <v>179</v>
      </c>
      <c r="BY1067" s="2" t="s">
        <v>751</v>
      </c>
    </row>
    <row r="1068" spans="1:79" ht="19.95" customHeight="1" thickBot="1">
      <c r="A1068" s="224"/>
      <c r="B1068" s="160" t="s">
        <v>9</v>
      </c>
      <c r="C1068" s="161"/>
      <c r="D1068" s="161"/>
      <c r="E1068" s="161"/>
      <c r="F1068" s="161"/>
      <c r="G1068" s="161"/>
      <c r="H1068" s="341"/>
      <c r="I1068" s="161"/>
      <c r="J1068" s="161"/>
      <c r="K1068" s="161"/>
      <c r="L1068" s="161"/>
      <c r="M1068" s="162" t="str">
        <f>B1068</f>
        <v>DEMAND</v>
      </c>
      <c r="N1068" s="225"/>
      <c r="AC1068" s="1"/>
      <c r="BE1068" s="49" t="str">
        <f>BE1064</f>
        <v>IMM</v>
      </c>
      <c r="BF1068" s="49" t="str">
        <f t="shared" ref="BF1068:BL1068" si="8">BF1064</f>
        <v>CLI</v>
      </c>
      <c r="BG1068" s="49" t="str">
        <f t="shared" si="8"/>
        <v>GUN</v>
      </c>
      <c r="BH1068" s="49" t="str">
        <f t="shared" si="8"/>
        <v>ABO</v>
      </c>
      <c r="BI1068" s="49" t="str">
        <f t="shared" si="8"/>
        <v>HEA</v>
      </c>
      <c r="BJ1068" s="49" t="str">
        <f t="shared" si="8"/>
        <v>CRI</v>
      </c>
      <c r="BK1068" s="49" t="str">
        <f t="shared" si="8"/>
        <v>ECO</v>
      </c>
      <c r="BL1068" s="49" t="str">
        <f t="shared" si="8"/>
        <v>RAC</v>
      </c>
      <c r="BM1068" s="47" t="s">
        <v>3</v>
      </c>
      <c r="BT1068" s="39" t="s">
        <v>568</v>
      </c>
      <c r="BU1068" s="38" t="s">
        <v>581</v>
      </c>
      <c r="BX1068" s="2" t="str">
        <f>CONCATENATE(BY1069,BY1070,BY1071)</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69" spans="1:79" ht="19.95" customHeight="1">
      <c r="A1069" s="224"/>
      <c r="B1069" s="1165" t="str">
        <f>BB1069</f>
        <v>Shut down ICE! Stop building the wall. End racism at the border. Stop separating families &amp; caging children. Stop criminalizing being born elsewhere.</v>
      </c>
      <c r="C1069" s="1166"/>
      <c r="D1069" s="1166"/>
      <c r="E1069" s="1166"/>
      <c r="F1069" s="1166"/>
      <c r="G1069" s="1167"/>
      <c r="H1069" s="1082" t="str">
        <f>BB1070</f>
        <v>Build the wall! Stem the tide of migrants, especially those who evade the law others dutifully follow. Then vet entry based on merit. MAGA!</v>
      </c>
      <c r="I1069" s="1082"/>
      <c r="J1069" s="1082"/>
      <c r="K1069" s="1082"/>
      <c r="L1069" s="1082"/>
      <c r="M1069" s="1083"/>
      <c r="N1069" s="225"/>
      <c r="AC1069" s="1"/>
      <c r="BB1069" s="2" t="str">
        <f>IF($C$1047=$BB$1047,BE1069,IF($C$1047=$BB$1048,BF1069,IF($C$1047=$BB$1049,BG1069,IF($C$1047=$BB$1050,BH1069,IF($C$1047=$BB$1051,BI1069,IF($C$1047=$BB$1052,BJ1069,IF($C$1047=$BB$1053,BK1069,IF($C$1047=$BB$1054,BL1069,""))))))))</f>
        <v>Shut down ICE! Stop building the wall. End racism at the border. Stop separating families &amp; caging children. Stop criminalizing being born elsewhere.</v>
      </c>
      <c r="BD1069" s="48" t="s">
        <v>93</v>
      </c>
      <c r="BE1069" s="2" t="s">
        <v>163</v>
      </c>
      <c r="BF1069" s="2" t="s">
        <v>159</v>
      </c>
      <c r="BG1069" s="2" t="s">
        <v>165</v>
      </c>
      <c r="BH1069" s="2" t="s">
        <v>167</v>
      </c>
      <c r="BI1069" s="2" t="s">
        <v>169</v>
      </c>
      <c r="BJ1069" s="2" t="s">
        <v>171</v>
      </c>
      <c r="BK1069" s="2" t="s">
        <v>173</v>
      </c>
      <c r="BL1069" s="2" t="s">
        <v>175</v>
      </c>
      <c r="BM1069" s="47" t="s">
        <v>3</v>
      </c>
      <c r="BT1069" s="39" t="s">
        <v>198</v>
      </c>
      <c r="BU1069" s="38" t="s">
        <v>582</v>
      </c>
      <c r="BY1069" s="2" t="s">
        <v>747</v>
      </c>
    </row>
    <row r="1070" spans="1:79" ht="19.95" customHeight="1">
      <c r="A1070" s="224"/>
      <c r="B1070" s="1168"/>
      <c r="C1070" s="1169"/>
      <c r="D1070" s="1169"/>
      <c r="E1070" s="1169"/>
      <c r="F1070" s="1169"/>
      <c r="G1070" s="1170"/>
      <c r="H1070" s="1084"/>
      <c r="I1070" s="1084"/>
      <c r="J1070" s="1084"/>
      <c r="K1070" s="1084"/>
      <c r="L1070" s="1084"/>
      <c r="M1070" s="1085"/>
      <c r="N1070" s="225"/>
      <c r="AC1070" s="1"/>
      <c r="BB1070" s="2" t="str">
        <f>IF($C$1047=$BB$1047,BE1070,IF($C$1047=$BB$1048,BF1070,IF($C$1047=$BB$1049,BG1070,IF($C$1047=$BB$1050,BH1070,IF($C$1047=$BB$1051,BI1070,IF($C$1047=$BB$1052,BJ1070,IF($C$1047=$BB$1053,BK1070,IF($C$1047=$BB$1054,BL1070,""))))))))</f>
        <v>Build the wall! Stem the tide of migrants, especially those who evade the law others dutifully follow. Then vet entry based on merit. MAGA!</v>
      </c>
      <c r="BD1070" s="48" t="s">
        <v>94</v>
      </c>
      <c r="BE1070" s="2" t="s">
        <v>164</v>
      </c>
      <c r="BF1070" s="2" t="s">
        <v>1037</v>
      </c>
      <c r="BG1070" s="2" t="s">
        <v>166</v>
      </c>
      <c r="BH1070" s="2" t="s">
        <v>168</v>
      </c>
      <c r="BI1070" s="2" t="s">
        <v>170</v>
      </c>
      <c r="BJ1070" s="2" t="s">
        <v>172</v>
      </c>
      <c r="BK1070" s="2" t="s">
        <v>174</v>
      </c>
      <c r="BL1070" s="2" t="s">
        <v>176</v>
      </c>
      <c r="BM1070" s="47" t="s">
        <v>3</v>
      </c>
      <c r="BT1070" s="39" t="s">
        <v>569</v>
      </c>
      <c r="BU1070" s="38" t="s">
        <v>583</v>
      </c>
      <c r="BY1070" s="2" t="s">
        <v>749</v>
      </c>
    </row>
    <row r="1071" spans="1:79" ht="19.95" customHeight="1">
      <c r="A1071" s="224"/>
      <c r="B1071" s="1168"/>
      <c r="C1071" s="1169"/>
      <c r="D1071" s="1169"/>
      <c r="E1071" s="1169"/>
      <c r="F1071" s="1169"/>
      <c r="G1071" s="1170"/>
      <c r="H1071" s="1084"/>
      <c r="I1071" s="1084"/>
      <c r="J1071" s="1084"/>
      <c r="K1071" s="1084"/>
      <c r="L1071" s="1084"/>
      <c r="M1071" s="1085"/>
      <c r="N1071" s="225"/>
      <c r="AC1071" s="1"/>
      <c r="BT1071" s="39" t="s">
        <v>570</v>
      </c>
      <c r="BU1071" s="38" t="s">
        <v>197</v>
      </c>
      <c r="BY1071" s="2" t="s">
        <v>750</v>
      </c>
    </row>
    <row r="1072" spans="1:79" ht="19.95" customHeight="1">
      <c r="A1072" s="224"/>
      <c r="B1072" s="1168"/>
      <c r="C1072" s="1169"/>
      <c r="D1072" s="1169"/>
      <c r="E1072" s="1169"/>
      <c r="F1072" s="1169"/>
      <c r="G1072" s="1170"/>
      <c r="H1072" s="1084"/>
      <c r="I1072" s="1084"/>
      <c r="J1072" s="1084"/>
      <c r="K1072" s="1084"/>
      <c r="L1072" s="1084"/>
      <c r="M1072" s="1085"/>
      <c r="N1072" s="225"/>
      <c r="AC1072" s="1"/>
    </row>
    <row r="1073" spans="1:65" ht="19.95" customHeight="1" thickBot="1">
      <c r="A1073" s="224"/>
      <c r="B1073" s="1171"/>
      <c r="C1073" s="1172"/>
      <c r="D1073" s="1172"/>
      <c r="E1073" s="1172"/>
      <c r="F1073" s="1172"/>
      <c r="G1073" s="1173"/>
      <c r="H1073" s="1086"/>
      <c r="I1073" s="1086"/>
      <c r="J1073" s="1086"/>
      <c r="K1073" s="1086"/>
      <c r="L1073" s="1086"/>
      <c r="M1073" s="1087"/>
      <c r="N1073" s="225"/>
      <c r="AC1073" s="1"/>
    </row>
    <row r="1074" spans="1:65">
      <c r="A1074" s="224"/>
      <c r="B1074" s="24"/>
      <c r="C1074" s="24"/>
      <c r="D1074" s="24"/>
      <c r="E1074" s="24"/>
      <c r="F1074" s="24"/>
      <c r="G1074" s="24"/>
      <c r="H1074" s="340"/>
      <c r="I1074" s="24"/>
      <c r="J1074" s="24"/>
      <c r="K1074" s="24"/>
      <c r="L1074" s="24"/>
      <c r="M1074" s="24"/>
      <c r="N1074" s="225"/>
      <c r="AC1074" s="1"/>
    </row>
    <row r="1075" spans="1:65">
      <c r="A1075" s="226"/>
      <c r="B1075" s="231"/>
      <c r="C1075" s="231"/>
      <c r="D1075" s="231"/>
      <c r="E1075" s="231"/>
      <c r="F1075" s="231"/>
      <c r="G1075" s="231"/>
      <c r="H1075" s="342"/>
      <c r="I1075" s="231"/>
      <c r="J1075" s="231"/>
      <c r="K1075" s="231"/>
      <c r="L1075" s="231"/>
      <c r="M1075" s="231"/>
      <c r="N1075" s="228"/>
      <c r="AC1075" s="1"/>
    </row>
    <row r="1076" spans="1:65" ht="30" customHeight="1">
      <c r="A1076" s="220" t="s">
        <v>1148</v>
      </c>
      <c r="B1076" s="914" t="s">
        <v>1156</v>
      </c>
      <c r="C1076" s="914"/>
      <c r="D1076" s="914"/>
      <c r="E1076" s="914"/>
      <c r="F1076" s="914"/>
      <c r="G1076" s="914"/>
      <c r="H1076" s="914"/>
      <c r="I1076" s="914"/>
      <c r="J1076" s="914"/>
      <c r="K1076" s="914"/>
      <c r="L1076" s="914"/>
      <c r="M1076" s="222"/>
      <c r="N1076" s="223" t="s">
        <v>1149</v>
      </c>
      <c r="AC1076" s="1"/>
    </row>
    <row r="1077" spans="1:65" ht="16.95" customHeight="1">
      <c r="A1077" s="224"/>
      <c r="B1077" s="236"/>
      <c r="C1077" s="236"/>
      <c r="D1077" s="236"/>
      <c r="E1077" s="236"/>
      <c r="F1077" s="236"/>
      <c r="G1077" s="236"/>
      <c r="H1077" s="343" t="str">
        <f>BB1077</f>
        <v xml:space="preserve"> for the politicized issue of immigration. </v>
      </c>
      <c r="I1077" s="236"/>
      <c r="J1077" s="236"/>
      <c r="K1077" s="236"/>
      <c r="L1077" s="236"/>
      <c r="M1077" s="236"/>
      <c r="N1077" s="225"/>
      <c r="AC1077" s="1"/>
      <c r="BB1077" s="2" t="str">
        <f>CONCATENATE(BD1077,BE1077,BF1077)</f>
        <v xml:space="preserve"> for the politicized issue of immigration. </v>
      </c>
      <c r="BD1077" s="2" t="s">
        <v>1047</v>
      </c>
      <c r="BE1077" s="2" t="str">
        <f>IF(C1047=BB1047,BF1047,IF(C1047=BB1048,BF1048,IF(C1047=BB1049,BF1049,IF(C1047=BB1050,BF1050,IF(C1047=BB1051,BF1051,IF(C1047=BB1052,BF1052,IF(1007=BB1053,BF1053,IF(C1047=BB1054,BF1054))))))))</f>
        <v>immigration</v>
      </c>
      <c r="BF1077" s="2" t="s">
        <v>1022</v>
      </c>
    </row>
    <row r="1078" spans="1:65" ht="19.95" customHeight="1">
      <c r="A1078" s="224"/>
      <c r="B1078" s="42" t="s">
        <v>6</v>
      </c>
      <c r="C1078" s="43"/>
      <c r="D1078" s="43"/>
      <c r="E1078" s="43"/>
      <c r="F1078" s="43"/>
      <c r="G1078" s="43"/>
      <c r="H1078" s="344"/>
      <c r="I1078" s="43"/>
      <c r="J1078" s="43"/>
      <c r="K1078" s="43"/>
      <c r="L1078" s="43"/>
      <c r="M1078" s="44" t="str">
        <f>B1078</f>
        <v>LISTEN</v>
      </c>
      <c r="N1078" s="225"/>
      <c r="AC1078" s="1"/>
      <c r="BE1078" s="49" t="str">
        <f t="shared" ref="BE1078:BL1078" si="9">BE1068</f>
        <v>IMM</v>
      </c>
      <c r="BF1078" s="49" t="str">
        <f t="shared" si="9"/>
        <v>CLI</v>
      </c>
      <c r="BG1078" s="49" t="str">
        <f t="shared" si="9"/>
        <v>GUN</v>
      </c>
      <c r="BH1078" s="49" t="str">
        <f t="shared" si="9"/>
        <v>ABO</v>
      </c>
      <c r="BI1078" s="49" t="str">
        <f t="shared" si="9"/>
        <v>HEA</v>
      </c>
      <c r="BJ1078" s="49" t="str">
        <f t="shared" si="9"/>
        <v>CRI</v>
      </c>
      <c r="BK1078" s="49" t="str">
        <f t="shared" si="9"/>
        <v>ECO</v>
      </c>
      <c r="BL1078" s="49" t="str">
        <f t="shared" si="9"/>
        <v>RAC</v>
      </c>
    </row>
    <row r="1079" spans="1:65" ht="19.95" customHeight="1">
      <c r="A1079" s="224"/>
      <c r="B1079" s="1169" t="str">
        <f>BB1079</f>
        <v>“I need to support others like me to move away from threats created by systemic inequities, and toward inclusive opportunities respecting our unique qualities.”</v>
      </c>
      <c r="C1079" s="1169"/>
      <c r="D1079" s="1169"/>
      <c r="E1079" s="1169"/>
      <c r="F1079" s="1169"/>
      <c r="G1079" s="1169"/>
      <c r="H1079" s="1248" t="str">
        <f>BB1080</f>
        <v>“I need to be freer from threats of personal violence from outsiders, including foreign threats against the cohesion of my family and close-knit communities.”</v>
      </c>
      <c r="I1079" s="1248"/>
      <c r="J1079" s="1248"/>
      <c r="K1079" s="1248"/>
      <c r="L1079" s="1248"/>
      <c r="M1079" s="1248"/>
      <c r="N1079" s="225"/>
      <c r="AC1079" s="1"/>
      <c r="BB1079" s="2" t="str">
        <f>IF($C$1047=BB$1047,BE1079,IF($C$1047=BB$1048,BF1079,IF($C$1047=BB$1049,BG1079,IF($C$1047=BB$1050,BH1079,IF($C$1047=BB$1051,BI1079,IF($C$1047=BB$1052,BJ1079,IF($C$1047=BB$1053,BK1079,IF($C$1047=BB$1054,BL1079,""))))))))</f>
        <v>“I need to support others like me to move away from threats created by systemic inequities, and toward inclusive opportunities respecting our unique qualities.”</v>
      </c>
      <c r="BD1079" s="48" t="s">
        <v>95</v>
      </c>
      <c r="BE1079" s="2" t="s">
        <v>177</v>
      </c>
      <c r="BF1079" s="2" t="s">
        <v>195</v>
      </c>
      <c r="BG1079" s="2" t="s">
        <v>205</v>
      </c>
      <c r="BH1079" s="2" t="s">
        <v>215</v>
      </c>
      <c r="BI1079" s="2" t="s">
        <v>224</v>
      </c>
      <c r="BJ1079" s="2" t="s">
        <v>234</v>
      </c>
      <c r="BK1079" s="2" t="s">
        <v>244</v>
      </c>
      <c r="BL1079" s="2" t="s">
        <v>253</v>
      </c>
      <c r="BM1079" s="47" t="s">
        <v>3</v>
      </c>
    </row>
    <row r="1080" spans="1:65" ht="19.95" customHeight="1">
      <c r="A1080" s="224"/>
      <c r="B1080" s="1169"/>
      <c r="C1080" s="1169"/>
      <c r="D1080" s="1169"/>
      <c r="E1080" s="1169"/>
      <c r="F1080" s="1169"/>
      <c r="G1080" s="1169"/>
      <c r="H1080" s="1248"/>
      <c r="I1080" s="1248"/>
      <c r="J1080" s="1248"/>
      <c r="K1080" s="1248"/>
      <c r="L1080" s="1248"/>
      <c r="M1080" s="1248"/>
      <c r="N1080" s="225"/>
      <c r="AC1080" s="1"/>
      <c r="BB1080" s="2" t="str">
        <f>IF($C$1047=BB$1047,BE1080,IF($C$1047=BB$1048,BF1080,IF($C$1047=BB$1049,BG1080,IF($C$1047=BB$1050,BH1080,IF($C$1047=BB$1051,BI1080,IF($C$1047=BB$1052,BJ1080,IF($C$1047=BB$1053,BK1080,IF($C$1047=BB$1054,BL1080,""))))))))</f>
        <v>“I need to be freer from threats of personal violence from outsiders, including foreign threats against the cohesion of my family and close-knit communities.”</v>
      </c>
      <c r="BD1080" s="48" t="s">
        <v>96</v>
      </c>
      <c r="BE1080" s="2" t="s">
        <v>178</v>
      </c>
      <c r="BF1080" s="2" t="s">
        <v>196</v>
      </c>
      <c r="BG1080" s="2" t="s">
        <v>206</v>
      </c>
      <c r="BH1080" s="2" t="s">
        <v>216</v>
      </c>
      <c r="BI1080" s="2" t="s">
        <v>225</v>
      </c>
      <c r="BJ1080" s="2" t="s">
        <v>235</v>
      </c>
      <c r="BK1080" s="2" t="s">
        <v>245</v>
      </c>
      <c r="BL1080" s="2" t="s">
        <v>254</v>
      </c>
      <c r="BM1080" s="47" t="s">
        <v>3</v>
      </c>
    </row>
    <row r="1081" spans="1:65" ht="19.95" customHeight="1">
      <c r="A1081" s="224"/>
      <c r="B1081" s="1169"/>
      <c r="C1081" s="1169"/>
      <c r="D1081" s="1169"/>
      <c r="E1081" s="1169"/>
      <c r="F1081" s="1169"/>
      <c r="G1081" s="1169"/>
      <c r="H1081" s="1248"/>
      <c r="I1081" s="1248"/>
      <c r="J1081" s="1248"/>
      <c r="K1081" s="1248"/>
      <c r="L1081" s="1248"/>
      <c r="M1081" s="1248"/>
      <c r="N1081" s="225"/>
      <c r="AC1081" s="1"/>
    </row>
    <row r="1082" spans="1:65" ht="19.95" customHeight="1">
      <c r="A1082" s="224"/>
      <c r="B1082" s="1169"/>
      <c r="C1082" s="1169"/>
      <c r="D1082" s="1169"/>
      <c r="E1082" s="1169"/>
      <c r="F1082" s="1169"/>
      <c r="G1082" s="1169"/>
      <c r="H1082" s="1248"/>
      <c r="I1082" s="1248"/>
      <c r="J1082" s="1248"/>
      <c r="K1082" s="1248"/>
      <c r="L1082" s="1248"/>
      <c r="M1082" s="1248"/>
      <c r="N1082" s="225"/>
      <c r="AC1082" s="1"/>
    </row>
    <row r="1083" spans="1:65" ht="19.95" customHeight="1">
      <c r="A1083" s="224"/>
      <c r="B1083" s="1169"/>
      <c r="C1083" s="1169"/>
      <c r="D1083" s="1169"/>
      <c r="E1083" s="1169"/>
      <c r="F1083" s="1169"/>
      <c r="G1083" s="1169"/>
      <c r="H1083" s="1248"/>
      <c r="I1083" s="1248"/>
      <c r="J1083" s="1248"/>
      <c r="K1083" s="1248"/>
      <c r="L1083" s="1248"/>
      <c r="M1083" s="1248"/>
      <c r="N1083" s="225"/>
      <c r="AC1083" s="1"/>
    </row>
    <row r="1084" spans="1:65" ht="19.95" customHeight="1">
      <c r="A1084" s="224"/>
      <c r="B1084" s="25"/>
      <c r="C1084" s="25"/>
      <c r="D1084" s="25"/>
      <c r="E1084" s="25"/>
      <c r="F1084" s="25"/>
      <c r="G1084" s="25"/>
      <c r="H1084" s="345"/>
      <c r="I1084" s="25"/>
      <c r="J1084" s="25"/>
      <c r="K1084" s="25"/>
      <c r="L1084" s="25"/>
      <c r="M1084" s="25"/>
      <c r="N1084" s="225"/>
      <c r="AC1084" s="1"/>
    </row>
    <row r="1085" spans="1:65" ht="19.95" customHeight="1" thickBot="1">
      <c r="A1085" s="224"/>
      <c r="B1085" s="42" t="s">
        <v>8</v>
      </c>
      <c r="C1085" s="43"/>
      <c r="D1085" s="43"/>
      <c r="E1085" s="43"/>
      <c r="F1085" s="43"/>
      <c r="G1085" s="43"/>
      <c r="H1085" s="344"/>
      <c r="I1085" s="43"/>
      <c r="J1085" s="43"/>
      <c r="K1085" s="43"/>
      <c r="L1085" s="43"/>
      <c r="M1085" s="44" t="str">
        <f>B1085</f>
        <v>AFFIRM</v>
      </c>
      <c r="N1085" s="225"/>
      <c r="AC1085" s="1"/>
      <c r="BE1085" s="49" t="str">
        <f>BE1078</f>
        <v>IMM</v>
      </c>
      <c r="BF1085" s="49" t="str">
        <f t="shared" ref="BF1085:BL1085" si="10">BF1078</f>
        <v>CLI</v>
      </c>
      <c r="BG1085" s="49" t="str">
        <f t="shared" si="10"/>
        <v>GUN</v>
      </c>
      <c r="BH1085" s="49" t="str">
        <f t="shared" si="10"/>
        <v>ABO</v>
      </c>
      <c r="BI1085" s="49" t="str">
        <f t="shared" si="10"/>
        <v>HEA</v>
      </c>
      <c r="BJ1085" s="49" t="str">
        <f t="shared" si="10"/>
        <v>CRI</v>
      </c>
      <c r="BK1085" s="49" t="str">
        <f t="shared" si="10"/>
        <v>ECO</v>
      </c>
      <c r="BL1085" s="49" t="str">
        <f t="shared" si="10"/>
        <v>RAC</v>
      </c>
      <c r="BM1085" s="47" t="s">
        <v>3</v>
      </c>
    </row>
    <row r="1086" spans="1:65" ht="19.95" customHeight="1">
      <c r="A1086" s="224"/>
      <c r="B1086" s="1119" t="str">
        <f>BB1086</f>
        <v>inclusion</v>
      </c>
      <c r="C1086" s="1120"/>
      <c r="D1086" s="1120"/>
      <c r="E1086" s="35"/>
      <c r="F1086" s="35"/>
      <c r="G1086" s="35"/>
      <c r="H1086" s="346"/>
      <c r="I1086" s="155"/>
      <c r="J1086" s="155"/>
      <c r="K1086" s="1160" t="str">
        <f>BB1089</f>
        <v>security</v>
      </c>
      <c r="L1086" s="1160"/>
      <c r="M1086" s="1161"/>
      <c r="N1086" s="225"/>
      <c r="AC1086" s="1"/>
      <c r="BB1086" s="2" t="str">
        <f>IF($C$1047=BB$1047,BE1086,IF($C$1047=BB$1048,BF1086,IF($C$1047=BB$1049,BG1086,IF($C$1047=BB$1050,BH1086,IF($C$1047=BB$1051,BI1086,IF($C$1047=BB$1052,BJ1086,IF($C$1047=BB$1053,BK1086,IF($C$1047=BB$1054,BL1086,""))))))))</f>
        <v>inclusion</v>
      </c>
      <c r="BD1086" s="48" t="s">
        <v>115</v>
      </c>
      <c r="BE1086" s="2" t="s">
        <v>179</v>
      </c>
      <c r="BF1086" s="2" t="s">
        <v>197</v>
      </c>
      <c r="BG1086" s="2" t="s">
        <v>207</v>
      </c>
      <c r="BH1086" s="2" t="s">
        <v>217</v>
      </c>
      <c r="BI1086" s="2" t="s">
        <v>226</v>
      </c>
      <c r="BJ1086" s="2" t="s">
        <v>236</v>
      </c>
      <c r="BK1086" s="2" t="s">
        <v>246</v>
      </c>
      <c r="BL1086" s="2" t="s">
        <v>255</v>
      </c>
      <c r="BM1086" s="47" t="s">
        <v>3</v>
      </c>
    </row>
    <row r="1087" spans="1:65" ht="19.95" customHeight="1">
      <c r="A1087" s="224"/>
      <c r="B1087" s="36"/>
      <c r="C1087" s="7"/>
      <c r="D1087" s="7"/>
      <c r="E1087" s="1162" t="str">
        <f>BB1087</f>
        <v>uniqueness</v>
      </c>
      <c r="F1087" s="1162"/>
      <c r="G1087" s="1162"/>
      <c r="H1087" s="1163" t="str">
        <f>BB1088</f>
        <v>cohesion</v>
      </c>
      <c r="I1087" s="1164"/>
      <c r="J1087" s="1164"/>
      <c r="K1087" s="135"/>
      <c r="L1087" s="135"/>
      <c r="M1087" s="156"/>
      <c r="N1087" s="225"/>
      <c r="AC1087" s="1"/>
      <c r="BB1087" s="2" t="str">
        <f>IF($C$1047=BB$1047,BE1087,IF($C$1047=BB$1048,BF1087,IF($C$1047=BB$1049,BG1087,IF($C$1047=BB$1050,BH1087,IF($C$1047=BB$1051,BI1087,IF($C$1047=BB$1052,BJ1087,IF($C$1047=BB$1053,BK1087,IF($C$1047=BB$1054,BL1087,""))))))))</f>
        <v>uniqueness</v>
      </c>
      <c r="BD1087" s="48" t="s">
        <v>117</v>
      </c>
      <c r="BE1087" s="46" t="s">
        <v>180</v>
      </c>
      <c r="BF1087" s="2" t="s">
        <v>198</v>
      </c>
      <c r="BG1087" s="2" t="s">
        <v>208</v>
      </c>
      <c r="BH1087" s="2" t="s">
        <v>218</v>
      </c>
      <c r="BI1087" s="2" t="s">
        <v>229</v>
      </c>
      <c r="BJ1087" s="2" t="s">
        <v>237</v>
      </c>
      <c r="BK1087" s="2" t="s">
        <v>208</v>
      </c>
      <c r="BL1087" s="2" t="s">
        <v>256</v>
      </c>
      <c r="BM1087" s="47" t="s">
        <v>3</v>
      </c>
    </row>
    <row r="1088" spans="1:65" ht="19.95" customHeight="1">
      <c r="A1088" s="224"/>
      <c r="B1088" s="36"/>
      <c r="C1088" s="7"/>
      <c r="D1088" s="7"/>
      <c r="E1088" s="7"/>
      <c r="F1088" s="7"/>
      <c r="G1088" s="7"/>
      <c r="H1088" s="347"/>
      <c r="I1088" s="135"/>
      <c r="J1088" s="135"/>
      <c r="K1088" s="135"/>
      <c r="L1088" s="135"/>
      <c r="M1088" s="156"/>
      <c r="N1088" s="225"/>
      <c r="AC1088" s="1"/>
      <c r="BB1088" s="2" t="str">
        <f>IF($C$1047=BB$1047,BE1088,IF($C$1047=BB$1048,BF1088,IF($C$1047=BB$1049,BG1088,IF($C$1047=BB$1050,BH1088,IF($C$1047=BB$1051,BI1088,IF($C$1047=BB$1052,BJ1088,IF($C$1047=BB$1053,BK1088,IF($C$1047=BB$1054,BL1088,""))))))))</f>
        <v>cohesion</v>
      </c>
      <c r="BD1088" s="48" t="s">
        <v>118</v>
      </c>
      <c r="BE1088" s="2" t="s">
        <v>181</v>
      </c>
      <c r="BF1088" s="2" t="s">
        <v>199</v>
      </c>
      <c r="BG1088" s="2" t="s">
        <v>209</v>
      </c>
      <c r="BH1088" s="2" t="s">
        <v>219</v>
      </c>
      <c r="BI1088" s="2" t="s">
        <v>227</v>
      </c>
      <c r="BJ1088" s="2" t="s">
        <v>238</v>
      </c>
      <c r="BK1088" s="2" t="s">
        <v>247</v>
      </c>
      <c r="BL1088" s="2" t="s">
        <v>257</v>
      </c>
      <c r="BM1088" s="47" t="s">
        <v>3</v>
      </c>
    </row>
    <row r="1089" spans="1:65" ht="19.95" customHeight="1" thickBot="1">
      <c r="A1089" s="224"/>
      <c r="B1089" s="1114" t="s">
        <v>11</v>
      </c>
      <c r="C1089" s="1115"/>
      <c r="D1089" s="1115"/>
      <c r="E1089" s="1116" t="s">
        <v>12</v>
      </c>
      <c r="F1089" s="1116"/>
      <c r="G1089" s="1116"/>
      <c r="H1089" s="1117" t="s">
        <v>13</v>
      </c>
      <c r="I1089" s="1118"/>
      <c r="J1089" s="1118"/>
      <c r="K1089" s="1061" t="s">
        <v>14</v>
      </c>
      <c r="L1089" s="1061"/>
      <c r="M1089" s="1062"/>
      <c r="N1089" s="225"/>
      <c r="AC1089" s="1"/>
      <c r="BB1089" s="2" t="str">
        <f>IF($C$1047=BB$1047,BE1089,IF($C$1047=BB$1048,BF1089,IF($C$1047=BB$1049,BG1089,IF($C$1047=BB$1050,BH1089,IF($C$1047=BB$1051,BI1089,IF($C$1047=BB$1052,BJ1089,IF($C$1047=BB$1053,BK1089,IF($C$1047=BB$1054,BL1089,""))))))))</f>
        <v>security</v>
      </c>
      <c r="BD1089" s="48" t="s">
        <v>116</v>
      </c>
      <c r="BE1089" s="2" t="s">
        <v>182</v>
      </c>
      <c r="BF1089" s="2" t="s">
        <v>200</v>
      </c>
      <c r="BG1089" s="2" t="s">
        <v>210</v>
      </c>
      <c r="BH1089" s="2" t="s">
        <v>220</v>
      </c>
      <c r="BI1089" s="2" t="s">
        <v>228</v>
      </c>
      <c r="BJ1089" s="2" t="s">
        <v>239</v>
      </c>
      <c r="BK1089" s="2" t="s">
        <v>248</v>
      </c>
      <c r="BL1089" s="2" t="s">
        <v>258</v>
      </c>
    </row>
    <row r="1090" spans="1:65" ht="19.95" customHeight="1" thickBot="1">
      <c r="A1090" s="224"/>
      <c r="B1090" s="42" t="s">
        <v>10</v>
      </c>
      <c r="C1090" s="43"/>
      <c r="D1090" s="43"/>
      <c r="E1090" s="43"/>
      <c r="F1090" s="43"/>
      <c r="G1090" s="43"/>
      <c r="H1090" s="344"/>
      <c r="I1090" s="43"/>
      <c r="J1090" s="43"/>
      <c r="K1090" s="43"/>
      <c r="L1090" s="43"/>
      <c r="M1090" s="44" t="str">
        <f>B1090</f>
        <v>OFFER</v>
      </c>
      <c r="N1090" s="225"/>
      <c r="AC1090" s="1"/>
      <c r="BE1090" s="49" t="str">
        <f>BE1085</f>
        <v>IMM</v>
      </c>
      <c r="BF1090" s="49" t="str">
        <f t="shared" ref="BF1090:BL1090" si="11">BF1085</f>
        <v>CLI</v>
      </c>
      <c r="BG1090" s="49" t="str">
        <f t="shared" si="11"/>
        <v>GUN</v>
      </c>
      <c r="BH1090" s="49" t="str">
        <f t="shared" si="11"/>
        <v>ABO</v>
      </c>
      <c r="BI1090" s="49" t="str">
        <f t="shared" si="11"/>
        <v>HEA</v>
      </c>
      <c r="BJ1090" s="49" t="str">
        <f t="shared" si="11"/>
        <v>CRI</v>
      </c>
      <c r="BK1090" s="49" t="str">
        <f t="shared" si="11"/>
        <v>ECO</v>
      </c>
      <c r="BL1090" s="49" t="str">
        <f t="shared" si="11"/>
        <v>RAC</v>
      </c>
    </row>
    <row r="1091" spans="1:65" ht="19.95" customHeight="1">
      <c r="A1091" s="224"/>
      <c r="B1091" s="1063" t="str">
        <f>BB1091</f>
        <v>The more I honor your unmet self-need for security, I trust you’ll find it easier to respect our guarded self-need for uniqueness.</v>
      </c>
      <c r="C1091" s="1064"/>
      <c r="D1091" s="1064"/>
      <c r="E1091" s="1064"/>
      <c r="F1091" s="1064"/>
      <c r="G1091" s="1064"/>
      <c r="H1091" s="1082" t="str">
        <f>BB1093</f>
        <v>The more I respect your guarded self-need for uniqueness, I trust you’ll find it easier to honor our unmet self-need for security.</v>
      </c>
      <c r="I1091" s="1082"/>
      <c r="J1091" s="1082"/>
      <c r="K1091" s="1082"/>
      <c r="L1091" s="1082"/>
      <c r="M1091" s="1083"/>
      <c r="N1091" s="225"/>
      <c r="AC1091" s="1"/>
      <c r="BB1091" s="2" t="str">
        <f>IF($C$1047=BB$1047,BE1091,IF($C$1047=BB$1048,BF1091,IF($C$1047=BB$1049,BG1091,IF($C$1047=BB$1050,BH1091,IF($C$1047=BB$1051,BI1091,IF($C$1047=BB$1052,BJ1091,IF($C$1047=BB$1053,BK1091,IF($C$1047=BB$1054,BL1091,""))))))))</f>
        <v>The more I honor your unmet self-need for security, I trust you’ll find it easier to respect our guarded self-need for uniqueness.</v>
      </c>
      <c r="BD1091" s="48" t="s">
        <v>97</v>
      </c>
      <c r="BE1091" s="46" t="s">
        <v>183</v>
      </c>
      <c r="BF1091" s="2" t="s">
        <v>201</v>
      </c>
      <c r="BG1091" s="2" t="s">
        <v>211</v>
      </c>
      <c r="BH1091" s="2" t="s">
        <v>596</v>
      </c>
      <c r="BI1091" s="2" t="s">
        <v>230</v>
      </c>
      <c r="BJ1091" s="2" t="s">
        <v>240</v>
      </c>
      <c r="BK1091" s="2" t="s">
        <v>249</v>
      </c>
      <c r="BL1091" s="2" t="s">
        <v>259</v>
      </c>
      <c r="BM1091" s="47" t="s">
        <v>3</v>
      </c>
    </row>
    <row r="1092" spans="1:65" ht="19.95" customHeight="1">
      <c r="A1092" s="224"/>
      <c r="B1092" s="1065"/>
      <c r="C1092" s="1066"/>
      <c r="D1092" s="1066"/>
      <c r="E1092" s="1066"/>
      <c r="F1092" s="1066"/>
      <c r="G1092" s="1066"/>
      <c r="H1092" s="1084"/>
      <c r="I1092" s="1084"/>
      <c r="J1092" s="1084"/>
      <c r="K1092" s="1084"/>
      <c r="L1092" s="1084"/>
      <c r="M1092" s="1085"/>
      <c r="N1092" s="225"/>
      <c r="AC1092" s="1"/>
      <c r="BB1092" s="2" t="str">
        <f>IF($C$1047=BB$1047,BE1092,IF($C$1047=BB$1048,BF1092,IF($C$1047=BB$1049,BG1092,IF($C$1047=BB$1050,BH1092,IF($C$1047=BB$1051,BI1092,IF($C$1047=BB$1052,BJ1092,IF($C$1047=BB$1053,BK1092,IF($C$1047=BB$1054,BL1092,""))))))))</f>
        <v>The more I respect your guarded social-need for cohesion, I trust you’ll find it easier to honor our unmet social-need for inclusion.</v>
      </c>
      <c r="BD1092" s="48" t="s">
        <v>98</v>
      </c>
      <c r="BE1092" s="46" t="s">
        <v>184</v>
      </c>
      <c r="BF1092" s="2" t="s">
        <v>202</v>
      </c>
      <c r="BG1092" s="2" t="s">
        <v>212</v>
      </c>
      <c r="BH1092" s="2" t="s">
        <v>221</v>
      </c>
      <c r="BI1092" s="2" t="s">
        <v>231</v>
      </c>
      <c r="BJ1092" s="2" t="s">
        <v>241</v>
      </c>
      <c r="BK1092" s="2" t="s">
        <v>250</v>
      </c>
      <c r="BL1092" s="2" t="s">
        <v>260</v>
      </c>
      <c r="BM1092" s="47" t="s">
        <v>3</v>
      </c>
    </row>
    <row r="1093" spans="1:65" ht="19.95" customHeight="1">
      <c r="A1093" s="224"/>
      <c r="B1093" s="1065"/>
      <c r="C1093" s="1066"/>
      <c r="D1093" s="1066"/>
      <c r="E1093" s="1066"/>
      <c r="F1093" s="1066"/>
      <c r="G1093" s="1066"/>
      <c r="H1093" s="1084"/>
      <c r="I1093" s="1084"/>
      <c r="J1093" s="1084"/>
      <c r="K1093" s="1084"/>
      <c r="L1093" s="1084"/>
      <c r="M1093" s="1085"/>
      <c r="N1093" s="225"/>
      <c r="AC1093" s="1"/>
      <c r="BB1093" s="2" t="str">
        <f>IF($C$1047=BB$1047,BE1093,IF($C$1047=BB$1048,BF1093,IF($C$1047=BB$1049,BG1093,IF($C$1047=BB$1050,BH1093,IF($C$1047=BB$1051,BI1093,IF($C$1047=BB$1052,BJ1093,IF($C$1047=BB$1053,BK1093,IF($C$1047=BB$1054,BL1093,""))))))))</f>
        <v>The more I respect your guarded self-need for uniqueness, I trust you’ll find it easier to honor our unmet self-need for security.</v>
      </c>
      <c r="BD1093" s="48" t="s">
        <v>99</v>
      </c>
      <c r="BE1093" s="46" t="s">
        <v>185</v>
      </c>
      <c r="BF1093" s="2" t="s">
        <v>203</v>
      </c>
      <c r="BG1093" s="2" t="s">
        <v>213</v>
      </c>
      <c r="BH1093" s="2" t="s">
        <v>222</v>
      </c>
      <c r="BI1093" s="2" t="s">
        <v>232</v>
      </c>
      <c r="BJ1093" s="2" t="s">
        <v>242</v>
      </c>
      <c r="BK1093" s="2" t="s">
        <v>251</v>
      </c>
      <c r="BL1093" s="2" t="s">
        <v>261</v>
      </c>
      <c r="BM1093" s="47" t="s">
        <v>3</v>
      </c>
    </row>
    <row r="1094" spans="1:65" ht="19.95" customHeight="1">
      <c r="A1094" s="224"/>
      <c r="B1094" s="1065"/>
      <c r="C1094" s="1066"/>
      <c r="D1094" s="1066"/>
      <c r="E1094" s="1066"/>
      <c r="F1094" s="1066"/>
      <c r="G1094" s="1066"/>
      <c r="H1094" s="1084"/>
      <c r="I1094" s="1084"/>
      <c r="J1094" s="1084"/>
      <c r="K1094" s="1084"/>
      <c r="L1094" s="1084"/>
      <c r="M1094" s="1085"/>
      <c r="N1094" s="225"/>
      <c r="AC1094" s="1"/>
      <c r="BB1094" s="2" t="str">
        <f>IF($C$1047=BB$1047,BE1094,IF($C$1047=BB$1048,BF1094,IF($C$1047=BB$1049,BG1094,IF($C$1047=BB$1050,BH1094,IF($C$1047=BB$1051,BI1094,IF($C$1047=BB$1052,BJ1094,IF($C$1047=BB$1053,BK1094,IF($C$1047=BB$1054,BL1094,""))))))))</f>
        <v>The more I honor your unmet social-need for inclusion, I trust you’ll find it easier to respect our guarded social-need for cohesion.</v>
      </c>
      <c r="BD1094" s="48" t="s">
        <v>100</v>
      </c>
      <c r="BE1094" s="46" t="s">
        <v>186</v>
      </c>
      <c r="BF1094" s="2" t="s">
        <v>204</v>
      </c>
      <c r="BG1094" s="2" t="s">
        <v>214</v>
      </c>
      <c r="BH1094" s="2" t="s">
        <v>223</v>
      </c>
      <c r="BI1094" s="2" t="s">
        <v>233</v>
      </c>
      <c r="BJ1094" s="2" t="s">
        <v>243</v>
      </c>
      <c r="BK1094" s="2" t="s">
        <v>252</v>
      </c>
      <c r="BL1094" s="2" t="s">
        <v>262</v>
      </c>
      <c r="BM1094" s="47" t="s">
        <v>3</v>
      </c>
    </row>
    <row r="1095" spans="1:65" ht="19.95" customHeight="1" thickBot="1">
      <c r="A1095" s="224"/>
      <c r="B1095" s="1067"/>
      <c r="C1095" s="1068"/>
      <c r="D1095" s="1068"/>
      <c r="E1095" s="1068"/>
      <c r="F1095" s="1068"/>
      <c r="G1095" s="1068"/>
      <c r="H1095" s="1086"/>
      <c r="I1095" s="1086"/>
      <c r="J1095" s="1086"/>
      <c r="K1095" s="1086"/>
      <c r="L1095" s="1086"/>
      <c r="M1095" s="1087"/>
      <c r="N1095" s="225"/>
      <c r="AC1095" s="1"/>
    </row>
    <row r="1096" spans="1:65" ht="19.95" customHeight="1">
      <c r="A1096" s="224"/>
      <c r="B1096" s="1063" t="str">
        <f>BB1092</f>
        <v>The more I respect your guarded social-need for cohesion, I trust you’ll find it easier to honor our unmet social-need for inclusion.</v>
      </c>
      <c r="C1096" s="1064"/>
      <c r="D1096" s="1064"/>
      <c r="E1096" s="1064"/>
      <c r="F1096" s="1064"/>
      <c r="G1096" s="1064"/>
      <c r="H1096" s="1082" t="str">
        <f>BB1094</f>
        <v>The more I honor your unmet social-need for inclusion, I trust you’ll find it easier to respect our guarded social-need for cohesion.</v>
      </c>
      <c r="I1096" s="1082"/>
      <c r="J1096" s="1082"/>
      <c r="K1096" s="1082"/>
      <c r="L1096" s="1082"/>
      <c r="M1096" s="1083"/>
      <c r="N1096" s="225"/>
      <c r="AC1096" s="1"/>
      <c r="BB1096" s="159" t="s">
        <v>1038</v>
      </c>
      <c r="BD1096" s="2" t="s">
        <v>1233</v>
      </c>
    </row>
    <row r="1097" spans="1:65" ht="19.95" customHeight="1">
      <c r="A1097" s="224"/>
      <c r="B1097" s="1065"/>
      <c r="C1097" s="1066"/>
      <c r="D1097" s="1066"/>
      <c r="E1097" s="1066"/>
      <c r="F1097" s="1066"/>
      <c r="G1097" s="1066"/>
      <c r="H1097" s="1084"/>
      <c r="I1097" s="1084"/>
      <c r="J1097" s="1084"/>
      <c r="K1097" s="1084"/>
      <c r="L1097" s="1084"/>
      <c r="M1097" s="1085"/>
      <c r="N1097" s="225"/>
      <c r="AC1097" s="1"/>
      <c r="BB1097" s="159" t="s">
        <v>1039</v>
      </c>
      <c r="BD1097" s="2" t="s">
        <v>1049</v>
      </c>
    </row>
    <row r="1098" spans="1:65" ht="19.95" customHeight="1">
      <c r="A1098" s="224"/>
      <c r="B1098" s="1065"/>
      <c r="C1098" s="1066"/>
      <c r="D1098" s="1066"/>
      <c r="E1098" s="1066"/>
      <c r="F1098" s="1066"/>
      <c r="G1098" s="1066"/>
      <c r="H1098" s="1084"/>
      <c r="I1098" s="1084"/>
      <c r="J1098" s="1084"/>
      <c r="K1098" s="1084"/>
      <c r="L1098" s="1084"/>
      <c r="M1098" s="1085"/>
      <c r="N1098" s="225"/>
      <c r="AC1098" s="1"/>
      <c r="BB1098" s="159" t="s">
        <v>1040</v>
      </c>
      <c r="BD1098" s="2" t="s">
        <v>1048</v>
      </c>
    </row>
    <row r="1099" spans="1:65" ht="19.95" customHeight="1">
      <c r="A1099" s="224"/>
      <c r="B1099" s="1065"/>
      <c r="C1099" s="1066"/>
      <c r="D1099" s="1066"/>
      <c r="E1099" s="1066"/>
      <c r="F1099" s="1066"/>
      <c r="G1099" s="1066"/>
      <c r="H1099" s="1084"/>
      <c r="I1099" s="1084"/>
      <c r="J1099" s="1084"/>
      <c r="K1099" s="1084"/>
      <c r="L1099" s="1084"/>
      <c r="M1099" s="1085"/>
      <c r="N1099" s="225"/>
      <c r="AC1099" s="1"/>
      <c r="BB1099" s="159" t="s">
        <v>1041</v>
      </c>
      <c r="BD1099" s="2" t="s">
        <v>1050</v>
      </c>
      <c r="BE1099" s="126"/>
      <c r="BF1099" s="126"/>
      <c r="BG1099" s="126"/>
      <c r="BH1099" s="126"/>
      <c r="BI1099" s="126"/>
      <c r="BJ1099" s="126"/>
      <c r="BK1099" s="126"/>
      <c r="BL1099" s="126"/>
    </row>
    <row r="1100" spans="1:65" ht="19.95" customHeight="1" thickBot="1">
      <c r="A1100" s="224"/>
      <c r="B1100" s="1067"/>
      <c r="C1100" s="1068"/>
      <c r="D1100" s="1068"/>
      <c r="E1100" s="1068"/>
      <c r="F1100" s="1068"/>
      <c r="G1100" s="1068"/>
      <c r="H1100" s="1086"/>
      <c r="I1100" s="1086"/>
      <c r="J1100" s="1086"/>
      <c r="K1100" s="1086"/>
      <c r="L1100" s="1086"/>
      <c r="M1100" s="1087"/>
      <c r="N1100" s="225"/>
      <c r="AC1100" s="1"/>
      <c r="BB1100" s="159" t="s">
        <v>1042</v>
      </c>
      <c r="BD1100" s="2" t="s">
        <v>1234</v>
      </c>
      <c r="BM1100" s="125"/>
    </row>
    <row r="1101" spans="1:65" ht="10.199999999999999" customHeight="1" thickBot="1">
      <c r="A1101" s="224"/>
      <c r="B1101" s="24"/>
      <c r="C1101" s="24"/>
      <c r="D1101" s="24"/>
      <c r="E1101" s="24"/>
      <c r="F1101" s="24"/>
      <c r="G1101" s="24"/>
      <c r="H1101" s="340"/>
      <c r="I1101" s="24"/>
      <c r="J1101" s="24"/>
      <c r="K1101" s="24"/>
      <c r="L1101" s="24"/>
      <c r="M1101" s="24"/>
      <c r="N1101" s="225"/>
      <c r="AC1101" s="1"/>
      <c r="BB1101" s="159" t="s">
        <v>1043</v>
      </c>
      <c r="BD1101" s="2" t="s">
        <v>1051</v>
      </c>
      <c r="BM1101" s="125"/>
    </row>
    <row r="1102" spans="1:65" ht="13.95" customHeight="1">
      <c r="A1102" s="224"/>
      <c r="B1102" s="24"/>
      <c r="C1102" s="24"/>
      <c r="D1102" s="24"/>
      <c r="E1102" s="24"/>
      <c r="F1102" s="24"/>
      <c r="G1102" s="950"/>
      <c r="H1102" s="951"/>
      <c r="I1102" s="951"/>
      <c r="J1102" s="951"/>
      <c r="K1102" s="951"/>
      <c r="L1102" s="951"/>
      <c r="M1102" s="952"/>
      <c r="N1102" s="225"/>
      <c r="AC1102" s="1"/>
      <c r="BB1102" s="159" t="s">
        <v>1044</v>
      </c>
      <c r="BD1102" s="2" t="s">
        <v>1052</v>
      </c>
      <c r="BM1102" s="125"/>
    </row>
    <row r="1103" spans="1:65" ht="13.95" customHeight="1">
      <c r="A1103" s="224"/>
      <c r="B1103" s="24"/>
      <c r="C1103" s="24"/>
      <c r="D1103" s="24"/>
      <c r="E1103" s="24"/>
      <c r="F1103" s="24"/>
      <c r="G1103" s="953"/>
      <c r="H1103" s="954"/>
      <c r="I1103" s="954"/>
      <c r="J1103" s="954"/>
      <c r="K1103" s="954"/>
      <c r="L1103" s="954"/>
      <c r="M1103" s="955"/>
      <c r="N1103" s="225"/>
      <c r="AC1103" s="1"/>
      <c r="BM1103" s="125"/>
    </row>
    <row r="1104" spans="1:65" ht="14.4" customHeight="1" thickBot="1">
      <c r="A1104" s="224"/>
      <c r="B1104" s="24"/>
      <c r="C1104" s="24"/>
      <c r="D1104" s="24"/>
      <c r="E1104" s="24"/>
      <c r="F1104" s="24"/>
      <c r="G1104" s="956"/>
      <c r="H1104" s="957"/>
      <c r="I1104" s="957"/>
      <c r="J1104" s="957"/>
      <c r="K1104" s="957"/>
      <c r="L1104" s="957"/>
      <c r="M1104" s="958"/>
      <c r="N1104" s="225"/>
      <c r="AC1104" s="1"/>
      <c r="BB1104" s="37" t="str">
        <f>CONCATENATE(BC1104,BD1104,BE1104,BF1104,BG1104,BH1104,BI1104,BJ1104)</f>
        <v xml:space="preserve">FALSEInstead of reacting to others with a different immigration view, or avoiding politics altogether, consider the viable alternative of responding to each other's needs behind the political rhetoric. You can listen for their immigration impacted needs without agreeing how you or others should respond to them. Their needs in how they experience immigration will not go away when ignored, but persist even more painfully. So let us be more mature in how we respond to them, modeling how others are to respond to yours. </v>
      </c>
      <c r="BC1104" s="2" t="b">
        <f>IF(G1102=BB1096,BD1096,IF(G1102=BB1097,BD1097,IF(G1102=BB1098,BD1098,IF(G1102=BB1099,BD1099,IF(G1102=BB1100,BD1100,IF(G1102=BB1101,BD1101,IF(G1102=BB1102,BD1102)))))))</f>
        <v>0</v>
      </c>
      <c r="BD1104" s="2" t="s">
        <v>1053</v>
      </c>
      <c r="BE1104" s="2" t="str">
        <f>IF($C$1047="","political",IF($C$1047=$BB1047,$BF1047,IF($C$1047=$BB1048,$BF1048,IF($C$1047=$BB1049,$BF1049,IF($C$1047=$BB1050,$BF1050,IF($C$1047=$BB1051,$BF1051,IF($C$1047=$BB1052,$BF1052,IF($C$1047=$BB1053,$BF1053,IF($C$1047=$BB1054,$BF1054)))))))))</f>
        <v>immigration</v>
      </c>
      <c r="BF1104" s="2" t="s">
        <v>1054</v>
      </c>
      <c r="BG1104" s="2" t="str">
        <f>IF($C$1047="","politically",IF($C$1047=$BB1047,$BF1047,IF($C$1047=$BB1048,$BF1048,IF($C$1047=$BB1049,$BF1049,IF($C$1047=$BB1050,$BF1050,IF($C$1047=$BB1051,$BF1051,IF($C$1047=$BB1052,$BF1052,IF($C$1047=$BB1053,$BF1053,IF($C$1047=$BB1054,$BF1054)))))))))</f>
        <v>immigration</v>
      </c>
      <c r="BH1104" s="2" t="s">
        <v>1055</v>
      </c>
      <c r="BI1104" s="2" t="str">
        <f>IF($C$1047="","the issue",IF($C$1047=$BB1047,$BF1047,IF($C$1047=$BB1048,$BF1048,IF($C$1047=$BB1049,$BF1049,IF($C$1047=$BB1050,$BF1050,IF($C$1047=$BB1051,$BF1051,IF($C$1047=$BB1052,$BF1052,IF($C$1047=$BB1053,$BF1053,IF($C$1047=$BB1054,$BF1054)))))))))</f>
        <v>immigration</v>
      </c>
      <c r="BJ1104" s="2" t="s">
        <v>1056</v>
      </c>
      <c r="BM1104" s="125"/>
    </row>
    <row r="1105" spans="1:65" ht="7.95" customHeight="1">
      <c r="A1105" s="224"/>
      <c r="B1105" s="24"/>
      <c r="C1105" s="163"/>
      <c r="D1105" s="163"/>
      <c r="E1105" s="163"/>
      <c r="F1105" s="163"/>
      <c r="G1105" s="163"/>
      <c r="H1105" s="348"/>
      <c r="I1105" s="163"/>
      <c r="J1105" s="163"/>
      <c r="K1105" s="163"/>
      <c r="L1105" s="163"/>
      <c r="M1105" s="163"/>
      <c r="N1105" s="225"/>
      <c r="AC1105" s="1"/>
      <c r="BB1105" s="37" t="str">
        <f>CONCATENATE(BC1105,BD1105,BE1105,BF1105,BG1105,BH1105)</f>
        <v>SELECT FROM THE DROPDOWN MENU ABOVE YOUR ORIGINAL VIEW OF POLITICS.</v>
      </c>
      <c r="BC1105" s="2" t="s">
        <v>1057</v>
      </c>
      <c r="BM1105" s="125"/>
    </row>
    <row r="1106" spans="1:65" ht="16.95" customHeight="1">
      <c r="A1106" s="224"/>
      <c r="B1106" s="1272" t="str">
        <f>IF(G1102="",BB1105,BB1104)</f>
        <v>SELECT FROM THE DROPDOWN MENU ABOVE YOUR ORIGINAL VIEW OF POLITICS.</v>
      </c>
      <c r="C1106" s="1272"/>
      <c r="D1106" s="1272"/>
      <c r="E1106" s="1272"/>
      <c r="F1106" s="1272"/>
      <c r="G1106" s="1272"/>
      <c r="H1106" s="1272"/>
      <c r="I1106" s="1272"/>
      <c r="J1106" s="1272"/>
      <c r="K1106" s="1272"/>
      <c r="L1106" s="1272"/>
      <c r="M1106" s="1272"/>
      <c r="N1106" s="225"/>
      <c r="AC1106" s="1"/>
      <c r="BM1106" s="125"/>
    </row>
    <row r="1107" spans="1:65" ht="16.95" customHeight="1">
      <c r="A1107" s="224"/>
      <c r="B1107" s="1272"/>
      <c r="C1107" s="1272"/>
      <c r="D1107" s="1272"/>
      <c r="E1107" s="1272"/>
      <c r="F1107" s="1272"/>
      <c r="G1107" s="1272"/>
      <c r="H1107" s="1272"/>
      <c r="I1107" s="1272"/>
      <c r="J1107" s="1272"/>
      <c r="K1107" s="1272"/>
      <c r="L1107" s="1272"/>
      <c r="M1107" s="1272"/>
      <c r="N1107" s="225"/>
      <c r="AC1107" s="1"/>
      <c r="BM1107" s="125"/>
    </row>
    <row r="1108" spans="1:65" ht="16.95" customHeight="1">
      <c r="A1108" s="224"/>
      <c r="B1108" s="1272"/>
      <c r="C1108" s="1272"/>
      <c r="D1108" s="1272"/>
      <c r="E1108" s="1272"/>
      <c r="F1108" s="1272"/>
      <c r="G1108" s="1272"/>
      <c r="H1108" s="1272"/>
      <c r="I1108" s="1272"/>
      <c r="J1108" s="1272"/>
      <c r="K1108" s="1272"/>
      <c r="L1108" s="1272"/>
      <c r="M1108" s="1272"/>
      <c r="N1108" s="225"/>
      <c r="AC1108" s="1"/>
    </row>
    <row r="1109" spans="1:65" ht="16.95" customHeight="1">
      <c r="A1109" s="224"/>
      <c r="B1109" s="1272"/>
      <c r="C1109" s="1272"/>
      <c r="D1109" s="1272"/>
      <c r="E1109" s="1272"/>
      <c r="F1109" s="1272"/>
      <c r="G1109" s="1272"/>
      <c r="H1109" s="1272"/>
      <c r="I1109" s="1272"/>
      <c r="J1109" s="1272"/>
      <c r="K1109" s="1272"/>
      <c r="L1109" s="1272"/>
      <c r="M1109" s="1272"/>
      <c r="N1109" s="225"/>
      <c r="AC1109" s="1"/>
    </row>
    <row r="1110" spans="1:65" ht="16.95" customHeight="1">
      <c r="A1110" s="224"/>
      <c r="B1110" s="1272"/>
      <c r="C1110" s="1272"/>
      <c r="D1110" s="1272"/>
      <c r="E1110" s="1272"/>
      <c r="F1110" s="1272"/>
      <c r="G1110" s="1272"/>
      <c r="H1110" s="1272"/>
      <c r="I1110" s="1272"/>
      <c r="J1110" s="1272"/>
      <c r="K1110" s="1272"/>
      <c r="L1110" s="1272"/>
      <c r="M1110" s="1272"/>
      <c r="N1110" s="225"/>
      <c r="AC1110" s="1"/>
    </row>
    <row r="1111" spans="1:65" ht="16.95" customHeight="1">
      <c r="A1111" s="224"/>
      <c r="B1111" s="1272"/>
      <c r="C1111" s="1272"/>
      <c r="D1111" s="1272"/>
      <c r="E1111" s="1272"/>
      <c r="F1111" s="1272"/>
      <c r="G1111" s="1272"/>
      <c r="H1111" s="1272"/>
      <c r="I1111" s="1272"/>
      <c r="J1111" s="1272"/>
      <c r="K1111" s="1272"/>
      <c r="L1111" s="1272"/>
      <c r="M1111" s="1272"/>
      <c r="N1111" s="225"/>
      <c r="AC1111" s="1"/>
    </row>
    <row r="1112" spans="1:65" ht="7.2" customHeight="1">
      <c r="A1112" s="226"/>
      <c r="B1112" s="237"/>
      <c r="C1112" s="237"/>
      <c r="D1112" s="237"/>
      <c r="E1112" s="237"/>
      <c r="F1112" s="237"/>
      <c r="G1112" s="237"/>
      <c r="H1112" s="349"/>
      <c r="I1112" s="237"/>
      <c r="J1112" s="237"/>
      <c r="K1112" s="237"/>
      <c r="L1112" s="237"/>
      <c r="M1112" s="237"/>
      <c r="N1112" s="228"/>
      <c r="AC1112" s="1"/>
    </row>
    <row r="1113" spans="1:65" ht="30" customHeight="1">
      <c r="A1113" s="220" t="s">
        <v>1148</v>
      </c>
      <c r="B1113" s="914" t="s">
        <v>24</v>
      </c>
      <c r="C1113" s="914"/>
      <c r="D1113" s="914"/>
      <c r="E1113" s="914"/>
      <c r="F1113" s="914"/>
      <c r="G1113" s="914"/>
      <c r="H1113" s="914"/>
      <c r="I1113" s="914"/>
      <c r="J1113" s="914"/>
      <c r="K1113" s="914"/>
      <c r="L1113" s="914"/>
      <c r="M1113" s="222"/>
      <c r="N1113" s="223" t="s">
        <v>1149</v>
      </c>
    </row>
    <row r="1114" spans="1:65" ht="18" customHeight="1">
      <c r="A1114" s="224"/>
      <c r="B1114" s="24"/>
      <c r="C1114" s="24"/>
      <c r="D1114" s="24"/>
      <c r="E1114" s="24"/>
      <c r="F1114" s="24"/>
      <c r="G1114" s="24"/>
      <c r="H1114" s="340"/>
      <c r="I1114" s="24"/>
      <c r="J1114" s="24"/>
      <c r="K1114" s="24"/>
      <c r="L1114" s="24"/>
      <c r="M1114" s="24"/>
      <c r="N1114" s="225"/>
    </row>
    <row r="1115" spans="1:65" ht="18" customHeight="1">
      <c r="A1115" s="224"/>
      <c r="B1115" s="24"/>
      <c r="C1115" s="24"/>
      <c r="D1115" s="24"/>
      <c r="E1115" s="24"/>
      <c r="F1115" s="24"/>
      <c r="G1115" s="24"/>
      <c r="H1115" s="340"/>
      <c r="I1115" s="24"/>
      <c r="J1115" s="24"/>
      <c r="K1115" s="24"/>
      <c r="L1115" s="24"/>
      <c r="M1115" s="24"/>
      <c r="N1115" s="225"/>
    </row>
    <row r="1116" spans="1:65" ht="18" customHeight="1">
      <c r="A1116" s="224"/>
      <c r="B1116" s="24"/>
      <c r="C1116" s="24"/>
      <c r="D1116" s="24"/>
      <c r="E1116" s="24"/>
      <c r="F1116" s="24"/>
      <c r="G1116" s="24"/>
      <c r="H1116" s="340"/>
      <c r="I1116" s="24"/>
      <c r="J1116" s="24"/>
      <c r="K1116" s="24"/>
      <c r="L1116" s="24"/>
      <c r="M1116" s="24"/>
      <c r="N1116" s="225"/>
    </row>
    <row r="1117" spans="1:65" ht="18" customHeight="1">
      <c r="A1117" s="224"/>
      <c r="B1117" s="24"/>
      <c r="C1117" s="24"/>
      <c r="D1117" s="24"/>
      <c r="E1117" s="24"/>
      <c r="F1117" s="24"/>
      <c r="G1117" s="24"/>
      <c r="H1117" s="340"/>
      <c r="I1117" s="24"/>
      <c r="J1117" s="24"/>
      <c r="K1117" s="24"/>
      <c r="L1117" s="24"/>
      <c r="M1117" s="24"/>
      <c r="N1117" s="225"/>
    </row>
    <row r="1118" spans="1:65" ht="18" customHeight="1">
      <c r="A1118" s="224"/>
      <c r="B1118" s="24"/>
      <c r="C1118" s="24"/>
      <c r="D1118" s="24"/>
      <c r="E1118" s="24"/>
      <c r="F1118" s="24"/>
      <c r="G1118" s="24"/>
      <c r="H1118" s="340"/>
      <c r="I1118" s="24"/>
      <c r="J1118" s="24"/>
      <c r="K1118" s="24"/>
      <c r="L1118" s="24"/>
      <c r="M1118" s="24"/>
      <c r="N1118" s="225"/>
    </row>
    <row r="1119" spans="1:65" ht="18" customHeight="1">
      <c r="A1119" s="224"/>
      <c r="B1119" s="24"/>
      <c r="C1119" s="24"/>
      <c r="D1119" s="24"/>
      <c r="E1119" s="24"/>
      <c r="F1119" s="24"/>
      <c r="G1119" s="24"/>
      <c r="H1119" s="340"/>
      <c r="I1119" s="24"/>
      <c r="J1119" s="24"/>
      <c r="K1119" s="24"/>
      <c r="L1119" s="24"/>
      <c r="M1119" s="24"/>
      <c r="N1119" s="225"/>
    </row>
    <row r="1120" spans="1:65" ht="18" customHeight="1">
      <c r="A1120" s="224"/>
      <c r="B1120" s="24"/>
      <c r="C1120" s="24"/>
      <c r="D1120" s="24"/>
      <c r="E1120" s="24"/>
      <c r="F1120" s="24"/>
      <c r="G1120" s="24"/>
      <c r="H1120" s="340"/>
      <c r="I1120" s="24"/>
      <c r="J1120" s="24"/>
      <c r="K1120" s="24"/>
      <c r="L1120" s="24"/>
      <c r="M1120" s="24"/>
      <c r="N1120" s="225"/>
      <c r="BE1120" s="49" t="str">
        <f>BE1090</f>
        <v>IMM</v>
      </c>
      <c r="BF1120" s="49" t="str">
        <f t="shared" ref="BF1120:BL1120" si="12">BF1090</f>
        <v>CLI</v>
      </c>
      <c r="BG1120" s="49" t="str">
        <f t="shared" si="12"/>
        <v>GUN</v>
      </c>
      <c r="BH1120" s="49" t="str">
        <f t="shared" si="12"/>
        <v>ABO</v>
      </c>
      <c r="BI1120" s="49" t="str">
        <f t="shared" si="12"/>
        <v>HEA</v>
      </c>
      <c r="BJ1120" s="49" t="str">
        <f t="shared" si="12"/>
        <v>CRI</v>
      </c>
      <c r="BK1120" s="49" t="str">
        <f t="shared" si="12"/>
        <v>ECO</v>
      </c>
      <c r="BL1120" s="49" t="str">
        <f t="shared" si="12"/>
        <v>RAC</v>
      </c>
    </row>
    <row r="1121" spans="1:65" ht="18" customHeight="1">
      <c r="A1121" s="224"/>
      <c r="B1121" s="24"/>
      <c r="C1121" s="24"/>
      <c r="D1121" s="24"/>
      <c r="E1121" s="24"/>
      <c r="F1121" s="24"/>
      <c r="G1121" s="24"/>
      <c r="H1121" s="340"/>
      <c r="I1121" s="24"/>
      <c r="J1121" s="24"/>
      <c r="K1121" s="24"/>
      <c r="L1121" s="24"/>
      <c r="M1121" s="24"/>
      <c r="N1121" s="225"/>
    </row>
    <row r="1122" spans="1:65" ht="16.95" customHeight="1">
      <c r="A1122" s="224"/>
      <c r="B1122" s="24"/>
      <c r="C1122" s="24"/>
      <c r="D1122" s="24"/>
      <c r="E1122" s="24"/>
      <c r="F1122" s="24"/>
      <c r="G1122" s="24"/>
      <c r="H1122" s="340"/>
      <c r="I1122" s="24"/>
      <c r="J1122" s="24"/>
      <c r="K1122" s="24"/>
      <c r="L1122" s="24"/>
      <c r="M1122" s="24"/>
      <c r="N1122" s="225"/>
      <c r="BB1122" s="2" t="str">
        <f t="shared" ref="BB1122:BB1135" si="13">IF($C$1047=BB$1047,BE1122,IF($C$1047=BB$1048,BF1122,IF($C$1047=BB$1049,BG1122,IF($C$1047=BB$1050,BH1122,IF($C$1047=BB$1051,BI1122,IF($C$1047=BB$1052,BJ1122,IF($C$1047=BB$1053,BK1122,IF($C$1047=BB$1054,BL1122,""))))))))</f>
        <v>OPEN BORDERS</v>
      </c>
      <c r="BD1122" s="50" t="s">
        <v>125</v>
      </c>
      <c r="BE1122" s="2" t="s">
        <v>17</v>
      </c>
      <c r="BF1122" s="2" t="s">
        <v>265</v>
      </c>
      <c r="BG1122" s="2" t="s">
        <v>271</v>
      </c>
      <c r="BH1122" s="2" t="s">
        <v>281</v>
      </c>
      <c r="BI1122" s="2" t="s">
        <v>293</v>
      </c>
      <c r="BJ1122" s="2" t="s">
        <v>309</v>
      </c>
      <c r="BK1122" s="2" t="s">
        <v>323</v>
      </c>
      <c r="BL1122" s="2" t="s">
        <v>335</v>
      </c>
    </row>
    <row r="1123" spans="1:65" ht="30" customHeight="1" thickBot="1">
      <c r="A1123" s="224"/>
      <c r="B1123" s="1230"/>
      <c r="C1123" s="1230"/>
      <c r="D1123" s="1230"/>
      <c r="E1123" s="1230"/>
      <c r="F1123" s="1230"/>
      <c r="G1123" s="1230"/>
      <c r="H1123" s="1069"/>
      <c r="I1123" s="1069"/>
      <c r="J1123" s="1069"/>
      <c r="K1123" s="1069"/>
      <c r="L1123" s="1069"/>
      <c r="M1123" s="1069"/>
      <c r="N1123" s="225"/>
      <c r="BB1123" s="2" t="str">
        <f t="shared" si="13"/>
        <v>RELAX BORDERS</v>
      </c>
      <c r="BD1123" s="50" t="s">
        <v>126</v>
      </c>
      <c r="BE1123" s="2" t="s">
        <v>18</v>
      </c>
      <c r="BF1123" s="2" t="s">
        <v>266</v>
      </c>
      <c r="BG1123" s="2" t="s">
        <v>272</v>
      </c>
      <c r="BH1123" s="2" t="s">
        <v>282</v>
      </c>
      <c r="BI1123" s="2" t="s">
        <v>296</v>
      </c>
      <c r="BJ1123" s="2" t="s">
        <v>310</v>
      </c>
      <c r="BK1123" s="2" t="s">
        <v>324</v>
      </c>
      <c r="BL1123" s="2" t="s">
        <v>336</v>
      </c>
    </row>
    <row r="1124" spans="1:65" ht="30" customHeight="1" thickTop="1" thickBot="1">
      <c r="A1124" s="224"/>
      <c r="B1124" s="1070" t="s">
        <v>64</v>
      </c>
      <c r="C1124" s="1071"/>
      <c r="D1124" s="1072" t="s">
        <v>19</v>
      </c>
      <c r="E1124" s="1073"/>
      <c r="F1124" s="1074" t="s">
        <v>20</v>
      </c>
      <c r="G1124" s="1075"/>
      <c r="H1124" s="1076" t="s">
        <v>23</v>
      </c>
      <c r="I1124" s="1077"/>
      <c r="J1124" s="1078" t="s">
        <v>21</v>
      </c>
      <c r="K1124" s="1079"/>
      <c r="L1124" s="1080" t="s">
        <v>22</v>
      </c>
      <c r="M1124" s="1081"/>
      <c r="N1124" s="225"/>
      <c r="BB1124" s="2" t="str">
        <f t="shared" si="13"/>
        <v>EASY ENTRY</v>
      </c>
      <c r="BD1124" s="50" t="s">
        <v>127</v>
      </c>
      <c r="BE1124" s="2" t="s">
        <v>135</v>
      </c>
      <c r="BF1124" s="2" t="s">
        <v>267</v>
      </c>
      <c r="BG1124" s="2" t="s">
        <v>273</v>
      </c>
      <c r="BH1124" s="2" t="s">
        <v>283</v>
      </c>
      <c r="BI1124" s="2" t="s">
        <v>297</v>
      </c>
      <c r="BJ1124" s="2" t="s">
        <v>1045</v>
      </c>
      <c r="BK1124" s="2" t="s">
        <v>325</v>
      </c>
      <c r="BL1124" s="2" t="s">
        <v>337</v>
      </c>
    </row>
    <row r="1125" spans="1:65" ht="30" customHeight="1" thickTop="1" thickBot="1">
      <c r="A1125" s="224"/>
      <c r="B1125" s="1143"/>
      <c r="C1125" s="1144"/>
      <c r="D1125" s="1145"/>
      <c r="E1125" s="1146"/>
      <c r="F1125" s="1147"/>
      <c r="G1125" s="1148"/>
      <c r="H1125" s="1240"/>
      <c r="I1125" s="1241"/>
      <c r="J1125" s="1136"/>
      <c r="K1125" s="1137"/>
      <c r="L1125" s="1138"/>
      <c r="M1125" s="1139"/>
      <c r="N1125" s="225"/>
      <c r="BB1125" s="2" t="str">
        <f t="shared" si="13"/>
        <v>STEM ENTRY</v>
      </c>
      <c r="BD1125" s="50" t="s">
        <v>128</v>
      </c>
      <c r="BE1125" s="2" t="s">
        <v>192</v>
      </c>
      <c r="BF1125" s="2" t="s">
        <v>268</v>
      </c>
      <c r="BG1125" s="2" t="s">
        <v>274</v>
      </c>
      <c r="BH1125" s="2" t="s">
        <v>284</v>
      </c>
      <c r="BI1125" s="2" t="s">
        <v>298</v>
      </c>
      <c r="BJ1125" s="2" t="s">
        <v>312</v>
      </c>
      <c r="BK1125" s="2" t="s">
        <v>326</v>
      </c>
      <c r="BL1125" s="2" t="s">
        <v>338</v>
      </c>
    </row>
    <row r="1126" spans="1:65" ht="4.95" customHeight="1" thickTop="1" thickBot="1">
      <c r="A1126" s="224"/>
      <c r="B1126" s="24"/>
      <c r="C1126" s="24"/>
      <c r="D1126" s="24"/>
      <c r="E1126" s="24"/>
      <c r="F1126" s="24"/>
      <c r="G1126" s="24"/>
      <c r="H1126" s="340"/>
      <c r="I1126" s="24"/>
      <c r="J1126" s="24"/>
      <c r="K1126" s="24"/>
      <c r="L1126" s="24"/>
      <c r="M1126" s="24"/>
      <c r="N1126" s="225"/>
      <c r="BB1126" s="2">
        <f t="shared" si="13"/>
        <v>0</v>
      </c>
      <c r="BD1126" s="50"/>
    </row>
    <row r="1127" spans="1:65" ht="15" customHeight="1">
      <c r="A1127" s="224"/>
      <c r="B1127" s="1140" t="s">
        <v>15</v>
      </c>
      <c r="C1127" s="1141"/>
      <c r="D1127" s="1140" t="s">
        <v>15</v>
      </c>
      <c r="E1127" s="1141"/>
      <c r="F1127" s="1140" t="s">
        <v>15</v>
      </c>
      <c r="G1127" s="1141"/>
      <c r="H1127" s="1140" t="s">
        <v>15</v>
      </c>
      <c r="I1127" s="1141"/>
      <c r="J1127" s="1140" t="s">
        <v>15</v>
      </c>
      <c r="K1127" s="1141"/>
      <c r="L1127" s="1140" t="s">
        <v>15</v>
      </c>
      <c r="M1127" s="1141"/>
      <c r="N1127" s="225"/>
      <c r="BB1127" s="2" t="str">
        <f t="shared" si="13"/>
        <v>MERIT ENTRY</v>
      </c>
      <c r="BD1127" s="50" t="s">
        <v>129</v>
      </c>
      <c r="BE1127" s="2" t="s">
        <v>193</v>
      </c>
      <c r="BF1127" s="2" t="s">
        <v>269</v>
      </c>
      <c r="BG1127" s="2" t="s">
        <v>275</v>
      </c>
      <c r="BH1127" s="2" t="s">
        <v>285</v>
      </c>
      <c r="BI1127" s="2" t="s">
        <v>299</v>
      </c>
      <c r="BJ1127" s="2" t="s">
        <v>313</v>
      </c>
      <c r="BK1127" s="2" t="s">
        <v>327</v>
      </c>
      <c r="BL1127" s="2" t="s">
        <v>339</v>
      </c>
    </row>
    <row r="1128" spans="1:65" ht="34.950000000000003" customHeight="1">
      <c r="A1128" s="224"/>
      <c r="B1128" s="1088" t="str">
        <f>BB1122</f>
        <v>OPEN BORDERS</v>
      </c>
      <c r="C1128" s="1089"/>
      <c r="D1128" s="1088" t="str">
        <f>BB1123</f>
        <v>RELAX BORDERS</v>
      </c>
      <c r="E1128" s="1089"/>
      <c r="F1128" s="1088" t="str">
        <f>BB1124</f>
        <v>EASY ENTRY</v>
      </c>
      <c r="G1128" s="1089"/>
      <c r="H1128" s="1088" t="str">
        <f>BB1125</f>
        <v>STEM ENTRY</v>
      </c>
      <c r="I1128" s="1089"/>
      <c r="J1128" s="1088" t="str">
        <f>BB1127</f>
        <v>MERIT ENTRY</v>
      </c>
      <c r="K1128" s="1089"/>
      <c r="L1128" s="1088" t="str">
        <f>BB1128</f>
        <v>NO ENTRY</v>
      </c>
      <c r="M1128" s="1089"/>
      <c r="N1128" s="225"/>
      <c r="BB1128" s="2" t="str">
        <f t="shared" si="13"/>
        <v>NO ENTRY</v>
      </c>
      <c r="BD1128" s="50" t="s">
        <v>130</v>
      </c>
      <c r="BE1128" s="2" t="s">
        <v>194</v>
      </c>
      <c r="BF1128" s="2" t="s">
        <v>270</v>
      </c>
      <c r="BG1128" s="2" t="s">
        <v>276</v>
      </c>
      <c r="BH1128" s="2" t="s">
        <v>286</v>
      </c>
      <c r="BI1128" s="2" t="s">
        <v>300</v>
      </c>
      <c r="BJ1128" s="2" t="s">
        <v>314</v>
      </c>
      <c r="BK1128" s="2" t="s">
        <v>328</v>
      </c>
      <c r="BL1128" s="2" t="s">
        <v>716</v>
      </c>
    </row>
    <row r="1129" spans="1:65" ht="15" customHeight="1">
      <c r="A1129" s="224"/>
      <c r="B1129" s="933" t="s">
        <v>16</v>
      </c>
      <c r="C1129" s="934"/>
      <c r="D1129" s="933" t="s">
        <v>16</v>
      </c>
      <c r="E1129" s="934"/>
      <c r="F1129" s="933" t="s">
        <v>16</v>
      </c>
      <c r="G1129" s="934"/>
      <c r="H1129" s="933" t="s">
        <v>16</v>
      </c>
      <c r="I1129" s="934"/>
      <c r="J1129" s="933" t="s">
        <v>16</v>
      </c>
      <c r="K1129" s="934"/>
      <c r="L1129" s="933" t="s">
        <v>16</v>
      </c>
      <c r="M1129" s="934"/>
      <c r="N1129" s="225"/>
      <c r="BB1129" s="2">
        <f t="shared" si="13"/>
        <v>0</v>
      </c>
      <c r="BD1129" s="48"/>
    </row>
    <row r="1130" spans="1:65" ht="14.4" customHeight="1">
      <c r="A1130" s="224"/>
      <c r="B1130" s="1090" t="str">
        <f>BB1130</f>
        <v>We as nontraditional people feel systemically excluded from advantaged spaces by arbitrary national borders</v>
      </c>
      <c r="C1130" s="1091"/>
      <c r="D1130" s="1090" t="str">
        <f>BB1131</f>
        <v>We need to admit most immigrants are desperate to leave situations largely of our interventionists making</v>
      </c>
      <c r="E1130" s="1091"/>
      <c r="F1130" s="1090" t="str">
        <f>BB1132</f>
        <v>We need immigrants willing to do jobs citizens won’t and offer amnesty for citizenship after they show such merit</v>
      </c>
      <c r="G1130" s="1091"/>
      <c r="H1130" s="1090" t="str">
        <f>BB1133</f>
        <v>We can offer amnesty to children born to illegal migrant parents after they show merit</v>
      </c>
      <c r="I1130" s="1091"/>
      <c r="J1130" s="1090" t="str">
        <f>BB1134</f>
        <v>We need to limit migration to those first showing merit before crossing any of our sacred borders</v>
      </c>
      <c r="K1130" s="1091"/>
      <c r="L1130" s="1090" t="str">
        <f>BB1135</f>
        <v>Nativist Americans feel smothered by excessive immigration, pressurizing already strained cohesion</v>
      </c>
      <c r="M1130" s="1091"/>
      <c r="N1130" s="225"/>
      <c r="BB1130" s="2" t="str">
        <f t="shared" si="13"/>
        <v>We as nontraditional people feel systemically excluded from advantaged spaces by arbitrary national borders</v>
      </c>
      <c r="BD1130" s="50" t="s">
        <v>119</v>
      </c>
      <c r="BE1130" s="2" t="s">
        <v>346</v>
      </c>
      <c r="BF1130" s="2" t="s">
        <v>352</v>
      </c>
      <c r="BG1130" s="2" t="s">
        <v>358</v>
      </c>
      <c r="BH1130" s="2" t="s">
        <v>287</v>
      </c>
      <c r="BI1130" s="2" t="s">
        <v>301</v>
      </c>
      <c r="BJ1130" s="2" t="s">
        <v>315</v>
      </c>
      <c r="BK1130" s="2" t="s">
        <v>329</v>
      </c>
      <c r="BL1130" s="2" t="s">
        <v>340</v>
      </c>
      <c r="BM1130" s="47" t="s">
        <v>3</v>
      </c>
    </row>
    <row r="1131" spans="1:65" ht="14.4" customHeight="1">
      <c r="A1131" s="224"/>
      <c r="B1131" s="1090"/>
      <c r="C1131" s="1091"/>
      <c r="D1131" s="1090"/>
      <c r="E1131" s="1091"/>
      <c r="F1131" s="1090"/>
      <c r="G1131" s="1091"/>
      <c r="H1131" s="1090"/>
      <c r="I1131" s="1091"/>
      <c r="J1131" s="1090"/>
      <c r="K1131" s="1091"/>
      <c r="L1131" s="1090"/>
      <c r="M1131" s="1091"/>
      <c r="N1131" s="225"/>
      <c r="BB1131" s="2" t="str">
        <f t="shared" si="13"/>
        <v>We need to admit most immigrants are desperate to leave situations largely of our interventionists making</v>
      </c>
      <c r="BD1131" s="50" t="s">
        <v>120</v>
      </c>
      <c r="BE1131" s="2" t="s">
        <v>347</v>
      </c>
      <c r="BF1131" s="2" t="s">
        <v>353</v>
      </c>
      <c r="BG1131" s="2" t="s">
        <v>359</v>
      </c>
      <c r="BH1131" s="2" t="s">
        <v>288</v>
      </c>
      <c r="BI1131" s="2" t="s">
        <v>302</v>
      </c>
      <c r="BJ1131" s="2" t="s">
        <v>316</v>
      </c>
      <c r="BK1131" s="2" t="s">
        <v>330</v>
      </c>
      <c r="BL1131" s="2" t="s">
        <v>341</v>
      </c>
      <c r="BM1131" s="47" t="s">
        <v>3</v>
      </c>
    </row>
    <row r="1132" spans="1:65" ht="14.4" customHeight="1">
      <c r="A1132" s="224"/>
      <c r="B1132" s="1090"/>
      <c r="C1132" s="1091"/>
      <c r="D1132" s="1090"/>
      <c r="E1132" s="1091"/>
      <c r="F1132" s="1090"/>
      <c r="G1132" s="1091"/>
      <c r="H1132" s="1090"/>
      <c r="I1132" s="1091"/>
      <c r="J1132" s="1090"/>
      <c r="K1132" s="1091"/>
      <c r="L1132" s="1090"/>
      <c r="M1132" s="1091"/>
      <c r="N1132" s="225"/>
      <c r="BB1132" s="2" t="str">
        <f t="shared" si="13"/>
        <v>We need immigrants willing to do jobs citizens won’t and offer amnesty for citizenship after they show such merit</v>
      </c>
      <c r="BD1132" s="50" t="s">
        <v>121</v>
      </c>
      <c r="BE1132" s="2" t="s">
        <v>348</v>
      </c>
      <c r="BF1132" s="2" t="s">
        <v>354</v>
      </c>
      <c r="BG1132" s="2" t="s">
        <v>360</v>
      </c>
      <c r="BH1132" s="2" t="s">
        <v>289</v>
      </c>
      <c r="BI1132" s="2" t="s">
        <v>303</v>
      </c>
      <c r="BJ1132" s="2" t="s">
        <v>317</v>
      </c>
      <c r="BK1132" s="2" t="s">
        <v>331</v>
      </c>
      <c r="BL1132" s="2" t="s">
        <v>342</v>
      </c>
      <c r="BM1132" s="47" t="s">
        <v>3</v>
      </c>
    </row>
    <row r="1133" spans="1:65" ht="14.4" customHeight="1">
      <c r="A1133" s="224"/>
      <c r="B1133" s="1090"/>
      <c r="C1133" s="1091"/>
      <c r="D1133" s="1090"/>
      <c r="E1133" s="1091"/>
      <c r="F1133" s="1090"/>
      <c r="G1133" s="1091"/>
      <c r="H1133" s="1090"/>
      <c r="I1133" s="1091"/>
      <c r="J1133" s="1090"/>
      <c r="K1133" s="1091"/>
      <c r="L1133" s="1090"/>
      <c r="M1133" s="1091"/>
      <c r="N1133" s="225"/>
      <c r="BB1133" s="2" t="str">
        <f t="shared" si="13"/>
        <v>We can offer amnesty to children born to illegal migrant parents after they show merit</v>
      </c>
      <c r="BD1133" s="50" t="s">
        <v>122</v>
      </c>
      <c r="BE1133" s="2" t="s">
        <v>349</v>
      </c>
      <c r="BF1133" s="2" t="s">
        <v>355</v>
      </c>
      <c r="BG1133" s="2" t="s">
        <v>361</v>
      </c>
      <c r="BH1133" s="2" t="s">
        <v>290</v>
      </c>
      <c r="BI1133" s="2" t="s">
        <v>304</v>
      </c>
      <c r="BJ1133" s="2" t="s">
        <v>319</v>
      </c>
      <c r="BK1133" s="2" t="s">
        <v>332</v>
      </c>
      <c r="BL1133" s="2" t="s">
        <v>343</v>
      </c>
      <c r="BM1133" s="47" t="s">
        <v>3</v>
      </c>
    </row>
    <row r="1134" spans="1:65" ht="14.4" customHeight="1">
      <c r="A1134" s="224"/>
      <c r="B1134" s="1090"/>
      <c r="C1134" s="1091"/>
      <c r="D1134" s="1090"/>
      <c r="E1134" s="1091"/>
      <c r="F1134" s="1090"/>
      <c r="G1134" s="1091"/>
      <c r="H1134" s="1090"/>
      <c r="I1134" s="1091"/>
      <c r="J1134" s="1090"/>
      <c r="K1134" s="1091"/>
      <c r="L1134" s="1090"/>
      <c r="M1134" s="1091"/>
      <c r="N1134" s="225"/>
      <c r="BB1134" s="2" t="str">
        <f t="shared" si="13"/>
        <v>We need to limit migration to those first showing merit before crossing any of our sacred borders</v>
      </c>
      <c r="BD1134" s="50" t="s">
        <v>123</v>
      </c>
      <c r="BE1134" s="2" t="s">
        <v>350</v>
      </c>
      <c r="BF1134" s="2" t="s">
        <v>356</v>
      </c>
      <c r="BG1134" s="2" t="s">
        <v>362</v>
      </c>
      <c r="BH1134" s="2" t="s">
        <v>291</v>
      </c>
      <c r="BI1134" s="2" t="s">
        <v>305</v>
      </c>
      <c r="BJ1134" s="2" t="s">
        <v>318</v>
      </c>
      <c r="BK1134" s="2" t="s">
        <v>333</v>
      </c>
      <c r="BL1134" s="2" t="s">
        <v>714</v>
      </c>
      <c r="BM1134" s="47" t="s">
        <v>3</v>
      </c>
    </row>
    <row r="1135" spans="1:65" ht="14.4" customHeight="1">
      <c r="A1135" s="224"/>
      <c r="B1135" s="1090"/>
      <c r="C1135" s="1091"/>
      <c r="D1135" s="1090"/>
      <c r="E1135" s="1091"/>
      <c r="F1135" s="1090"/>
      <c r="G1135" s="1091"/>
      <c r="H1135" s="1090"/>
      <c r="I1135" s="1091"/>
      <c r="J1135" s="1090"/>
      <c r="K1135" s="1091"/>
      <c r="L1135" s="1090"/>
      <c r="M1135" s="1091"/>
      <c r="N1135" s="225"/>
      <c r="BB1135" s="2" t="str">
        <f t="shared" si="13"/>
        <v>Nativist Americans feel smothered by excessive immigration, pressurizing already strained cohesion</v>
      </c>
      <c r="BD1135" s="50" t="s">
        <v>124</v>
      </c>
      <c r="BE1135" s="2" t="s">
        <v>351</v>
      </c>
      <c r="BF1135" s="2" t="s">
        <v>357</v>
      </c>
      <c r="BG1135" s="2" t="s">
        <v>363</v>
      </c>
      <c r="BH1135" s="2" t="s">
        <v>292</v>
      </c>
      <c r="BI1135" s="2" t="s">
        <v>306</v>
      </c>
      <c r="BJ1135" s="2" t="s">
        <v>320</v>
      </c>
      <c r="BK1135" s="2" t="s">
        <v>334</v>
      </c>
      <c r="BL1135" s="2" t="s">
        <v>344</v>
      </c>
      <c r="BM1135" s="47" t="s">
        <v>3</v>
      </c>
    </row>
    <row r="1136" spans="1:65" ht="15" customHeight="1" thickBot="1">
      <c r="A1136" s="224"/>
      <c r="B1136" s="1092"/>
      <c r="C1136" s="1093"/>
      <c r="D1136" s="1092"/>
      <c r="E1136" s="1093"/>
      <c r="F1136" s="1092"/>
      <c r="G1136" s="1093"/>
      <c r="H1136" s="1092"/>
      <c r="I1136" s="1093"/>
      <c r="J1136" s="1092"/>
      <c r="K1136" s="1093"/>
      <c r="L1136" s="1092"/>
      <c r="M1136" s="1093"/>
      <c r="N1136" s="225"/>
    </row>
    <row r="1137" spans="1:65" ht="34.950000000000003" customHeight="1">
      <c r="A1137" s="224"/>
      <c r="B1137" s="929" t="str">
        <f>BB1137</f>
        <v>Seek inclusion: to ease less satisfied social-need</v>
      </c>
      <c r="C1137" s="929"/>
      <c r="D1137" s="929"/>
      <c r="E1137" s="929"/>
      <c r="F1137" s="930" t="str">
        <f>BB1138</f>
        <v>Seek both: personal &amp; social needs relatively equally.</v>
      </c>
      <c r="G1137" s="930"/>
      <c r="H1137" s="930"/>
      <c r="I1137" s="930"/>
      <c r="J1137" s="931" t="str">
        <f>BB1139</f>
        <v>Guard cohesion: the more satisfied social-need</v>
      </c>
      <c r="K1137" s="931"/>
      <c r="L1137" s="931"/>
      <c r="M1137" s="931"/>
      <c r="N1137" s="225"/>
      <c r="BB1137" s="2" t="str">
        <f>IF(C$1047=C$1047,BE1137,IF(C$1047=BB$93,BF1137,IF(C$1047=BB$94,BG1137,IF(C$1047=BB$95,BH1137,IF(C$1047=BB$96,BI1137,IF(C$1047=BB$97,BJ1137,IF(C$1047=BB$98,BK1137,IF(C$1047=BB$99,BL1137,""))))))))</f>
        <v>Seek inclusion: to ease less satisfied social-need</v>
      </c>
      <c r="BD1137" s="50" t="s">
        <v>187</v>
      </c>
      <c r="BE1137" s="2" t="s">
        <v>191</v>
      </c>
      <c r="BF1137" s="2" t="s">
        <v>279</v>
      </c>
      <c r="BG1137" s="2" t="s">
        <v>277</v>
      </c>
      <c r="BH1137" s="2" t="s">
        <v>294</v>
      </c>
      <c r="BI1137" s="2" t="s">
        <v>307</v>
      </c>
      <c r="BJ1137" s="2" t="s">
        <v>321</v>
      </c>
      <c r="BK1137" s="2" t="s">
        <v>279</v>
      </c>
      <c r="BL1137" s="2" t="s">
        <v>345</v>
      </c>
      <c r="BM1137" s="47" t="s">
        <v>3</v>
      </c>
    </row>
    <row r="1138" spans="1:65" ht="16.8" thickBot="1">
      <c r="A1138" s="224"/>
      <c r="B1138" s="24"/>
      <c r="C1138" s="24"/>
      <c r="D1138" s="24"/>
      <c r="E1138" s="24"/>
      <c r="F1138" s="24"/>
      <c r="G1138" s="24"/>
      <c r="H1138" s="340"/>
      <c r="I1138" s="24"/>
      <c r="J1138" s="24"/>
      <c r="K1138" s="24"/>
      <c r="L1138" s="24"/>
      <c r="M1138" s="24"/>
      <c r="N1138" s="225"/>
      <c r="BB1138" s="2" t="str">
        <f>IF(C$1047=C$1047,BE1138,IF(C$1047=BB$93,BF1138,IF(C$1047=BB$94,BG1138,IF(C$1047=BB$95,BH1138,IF(C$1047=BB$96,BI1138,IF(C$1047=BB$97,BJ1138,IF(C$1047=BB$98,BK1138,IF(C$1047=BB$99,BL1138,""))))))))</f>
        <v>Seek both: personal &amp; social needs relatively equally.</v>
      </c>
      <c r="BD1138" s="50" t="s">
        <v>188</v>
      </c>
      <c r="BE1138" s="2" t="s">
        <v>1208</v>
      </c>
      <c r="BF1138" s="2" t="s">
        <v>1208</v>
      </c>
      <c r="BG1138" s="2" t="s">
        <v>1208</v>
      </c>
      <c r="BH1138" s="2" t="s">
        <v>1208</v>
      </c>
      <c r="BI1138" s="2" t="s">
        <v>1208</v>
      </c>
      <c r="BJ1138" s="2" t="s">
        <v>1208</v>
      </c>
      <c r="BK1138" s="2" t="s">
        <v>1208</v>
      </c>
      <c r="BL1138" s="2" t="s">
        <v>1208</v>
      </c>
      <c r="BM1138" s="47" t="s">
        <v>3</v>
      </c>
    </row>
    <row r="1139" spans="1:65" ht="16.2">
      <c r="A1139" s="224"/>
      <c r="B1139" s="24"/>
      <c r="C1139" s="24"/>
      <c r="D1139" s="24"/>
      <c r="E1139" s="24"/>
      <c r="F1139" s="24"/>
      <c r="G1139" s="24"/>
      <c r="H1139" s="1044"/>
      <c r="I1139" s="1045"/>
      <c r="J1139" s="1045"/>
      <c r="K1139" s="1045"/>
      <c r="L1139" s="1045"/>
      <c r="M1139" s="1046"/>
      <c r="N1139" s="225"/>
      <c r="BB1139" s="2" t="str">
        <f>IF(C$1047=C$1047,BE1139,IF(C$1047=BB$93,BF1139,IF(C$1047=BB$94,BG1139,IF(C$1047=BB$95,BH1139,IF(C$1047=BB$96,BI1139,IF(C$1047=BB$97,BJ1139,IF(C$1047=BB$98,BK1139,IF(C$1047=BB$99,BL1139,""))))))))</f>
        <v>Guard cohesion: the more satisfied social-need</v>
      </c>
      <c r="BD1139" s="50" t="s">
        <v>189</v>
      </c>
      <c r="BE1139" s="2" t="s">
        <v>190</v>
      </c>
      <c r="BF1139" s="2" t="s">
        <v>280</v>
      </c>
      <c r="BG1139" s="2" t="s">
        <v>278</v>
      </c>
      <c r="BH1139" s="2" t="s">
        <v>295</v>
      </c>
      <c r="BI1139" s="2" t="s">
        <v>308</v>
      </c>
      <c r="BJ1139" s="2" t="s">
        <v>322</v>
      </c>
      <c r="BK1139" s="2" t="s">
        <v>280</v>
      </c>
      <c r="BL1139" s="2" t="s">
        <v>308</v>
      </c>
      <c r="BM1139" s="47" t="s">
        <v>3</v>
      </c>
    </row>
    <row r="1140" spans="1:65" ht="15" customHeight="1" thickBot="1">
      <c r="A1140" s="224"/>
      <c r="B1140" s="24"/>
      <c r="C1140" s="24"/>
      <c r="D1140" s="24"/>
      <c r="E1140" s="24"/>
      <c r="F1140" s="24"/>
      <c r="G1140" s="24"/>
      <c r="H1140" s="1047"/>
      <c r="I1140" s="1048"/>
      <c r="J1140" s="1048"/>
      <c r="K1140" s="1048"/>
      <c r="L1140" s="1048"/>
      <c r="M1140" s="1049"/>
      <c r="N1140" s="225"/>
    </row>
    <row r="1141" spans="1:65">
      <c r="A1141" s="224"/>
      <c r="B1141" s="24"/>
      <c r="C1141" s="24"/>
      <c r="D1141" s="24"/>
      <c r="E1141" s="24"/>
      <c r="F1141" s="24"/>
      <c r="G1141" s="24"/>
      <c r="H1141" s="1044"/>
      <c r="I1141" s="1045"/>
      <c r="J1141" s="1045"/>
      <c r="K1141" s="1045"/>
      <c r="L1141" s="1045"/>
      <c r="M1141" s="1046"/>
      <c r="N1141" s="225"/>
      <c r="BB1141" s="159" t="s">
        <v>1058</v>
      </c>
      <c r="BC1141" s="2" t="s">
        <v>1067</v>
      </c>
      <c r="BE1141" s="159" t="s">
        <v>1062</v>
      </c>
      <c r="BF1141" s="2" t="s">
        <v>1070</v>
      </c>
    </row>
    <row r="1142" spans="1:65" ht="14.4" thickBot="1">
      <c r="A1142" s="224"/>
      <c r="B1142" s="24"/>
      <c r="C1142" s="24"/>
      <c r="D1142" s="24"/>
      <c r="E1142" s="24"/>
      <c r="F1142" s="24"/>
      <c r="G1142" s="24"/>
      <c r="H1142" s="1047"/>
      <c r="I1142" s="1048"/>
      <c r="J1142" s="1048"/>
      <c r="K1142" s="1048"/>
      <c r="L1142" s="1048"/>
      <c r="M1142" s="1049"/>
      <c r="N1142" s="225"/>
      <c r="BB1142" s="159" t="s">
        <v>1059</v>
      </c>
      <c r="BC1142" s="2" t="s">
        <v>1068</v>
      </c>
      <c r="BE1142" s="159" t="s">
        <v>1063</v>
      </c>
      <c r="BF1142" s="2" t="s">
        <v>1071</v>
      </c>
    </row>
    <row r="1143" spans="1:65">
      <c r="A1143" s="224"/>
      <c r="B1143" s="24"/>
      <c r="C1143" s="24"/>
      <c r="D1143" s="24"/>
      <c r="E1143" s="24"/>
      <c r="F1143" s="24"/>
      <c r="G1143" s="24"/>
      <c r="H1143" s="340"/>
      <c r="I1143" s="24"/>
      <c r="J1143" s="24"/>
      <c r="K1143" s="24"/>
      <c r="L1143" s="24"/>
      <c r="M1143" s="24"/>
      <c r="N1143" s="225"/>
      <c r="BB1143" s="159" t="s">
        <v>1060</v>
      </c>
      <c r="BC1143" s="2" t="s">
        <v>1069</v>
      </c>
      <c r="BE1143" s="159" t="s">
        <v>1064</v>
      </c>
      <c r="BF1143" s="2" t="s">
        <v>1072</v>
      </c>
    </row>
    <row r="1144" spans="1:65">
      <c r="A1144" s="224"/>
      <c r="B1144" s="1142" t="str">
        <f>BB1148</f>
        <v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v>
      </c>
      <c r="C1144" s="1142"/>
      <c r="D1144" s="1142"/>
      <c r="E1144" s="1142"/>
      <c r="F1144" s="1142"/>
      <c r="G1144" s="1142"/>
      <c r="H1144" s="1142"/>
      <c r="I1144" s="1142"/>
      <c r="J1144" s="1142"/>
      <c r="K1144" s="1142"/>
      <c r="L1144" s="1142"/>
      <c r="M1144" s="1142"/>
      <c r="N1144" s="225"/>
      <c r="BB1144" s="159" t="s">
        <v>1061</v>
      </c>
      <c r="BC1144" s="2" t="s">
        <v>1230</v>
      </c>
      <c r="BE1144" s="159" t="s">
        <v>1065</v>
      </c>
      <c r="BF1144" s="2" t="s">
        <v>1073</v>
      </c>
    </row>
    <row r="1145" spans="1:65">
      <c r="A1145" s="224"/>
      <c r="B1145" s="1142"/>
      <c r="C1145" s="1142"/>
      <c r="D1145" s="1142"/>
      <c r="E1145" s="1142"/>
      <c r="F1145" s="1142"/>
      <c r="G1145" s="1142"/>
      <c r="H1145" s="1142"/>
      <c r="I1145" s="1142"/>
      <c r="J1145" s="1142"/>
      <c r="K1145" s="1142"/>
      <c r="L1145" s="1142"/>
      <c r="M1145" s="1142"/>
      <c r="N1145" s="225"/>
      <c r="BE1145" s="159" t="s">
        <v>1066</v>
      </c>
      <c r="BF1145" s="2" t="s">
        <v>1074</v>
      </c>
    </row>
    <row r="1146" spans="1:65">
      <c r="A1146" s="224"/>
      <c r="B1146" s="1142"/>
      <c r="C1146" s="1142"/>
      <c r="D1146" s="1142"/>
      <c r="E1146" s="1142"/>
      <c r="F1146" s="1142"/>
      <c r="G1146" s="1142"/>
      <c r="H1146" s="1142"/>
      <c r="I1146" s="1142"/>
      <c r="J1146" s="1142"/>
      <c r="K1146" s="1142"/>
      <c r="L1146" s="1142"/>
      <c r="M1146" s="1142"/>
      <c r="N1146" s="225"/>
    </row>
    <row r="1147" spans="1:65">
      <c r="A1147" s="224"/>
      <c r="B1147" s="1142"/>
      <c r="C1147" s="1142"/>
      <c r="D1147" s="1142"/>
      <c r="E1147" s="1142"/>
      <c r="F1147" s="1142"/>
      <c r="G1147" s="1142"/>
      <c r="H1147" s="1142"/>
      <c r="I1147" s="1142"/>
      <c r="J1147" s="1142"/>
      <c r="K1147" s="1142"/>
      <c r="L1147" s="1142"/>
      <c r="M1147" s="1142"/>
      <c r="N1147" s="225"/>
      <c r="BB1147" s="37" t="str">
        <f>CONCATENATE(BD1147,BE1147,BF1147,BG1147,BH1147,BI1147,BJ1147)</f>
        <v>It's easier to blame others, while guarding our vulnerable needs, than own our own role in it. We fuel polarization when resisting life's natural pull toward psychosocial equilibrium. Equally resolving your self-needs and social-needs dissolves immigration polarized views. The more connected and honest with others, the more fully you can resolve your immigration needs. There is no such thing as pain apart from unresolved needs. Resolved needs liberate you.</v>
      </c>
      <c r="BD1147" s="2" t="str">
        <f>IF(H1139=BB1141,BC1141,IF(H1139=BB1142,BC1142,IF(H1139=BB1143,BC1143,IF(H1139=BB1144,BC1144,""))))</f>
        <v/>
      </c>
      <c r="BE1147" s="2" t="str">
        <f>IF(H1141=BE1141,BF1141,IF(H1141=BE1142,BF1142,IF(H1141=BE1143,BF1143,IF(H1141=BE1144,BF1144,IF(H1141=BE1145,BF1145,"")))))</f>
        <v/>
      </c>
      <c r="BF1147" s="2" t="s">
        <v>1077</v>
      </c>
      <c r="BG1147" s="2" t="str">
        <f>IF($C$1047="","political polarization",CONCATENATE(BE1077," polarized views."))</f>
        <v>immigration polarized views.</v>
      </c>
      <c r="BH1147" s="2" t="s">
        <v>1075</v>
      </c>
      <c r="BI1147" s="2" t="str">
        <f>IF(BE1077="","",BE1077)</f>
        <v>immigration</v>
      </c>
      <c r="BJ1147" s="2" t="s">
        <v>1076</v>
      </c>
    </row>
    <row r="1148" spans="1:65">
      <c r="A1148" s="224"/>
      <c r="B1148" s="1142"/>
      <c r="C1148" s="1142"/>
      <c r="D1148" s="1142"/>
      <c r="E1148" s="1142"/>
      <c r="F1148" s="1142"/>
      <c r="G1148" s="1142"/>
      <c r="H1148" s="1142"/>
      <c r="I1148" s="1142"/>
      <c r="J1148" s="1142"/>
      <c r="K1148" s="1142"/>
      <c r="L1148" s="1142"/>
      <c r="M1148" s="1142"/>
      <c r="N1148" s="225"/>
      <c r="BB1148" s="37" t="str">
        <f>IF(OR(H1139="",H1141=""),BD1148,BB1147)</f>
        <v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v>
      </c>
      <c r="BD1148" s="2" t="s">
        <v>1078</v>
      </c>
    </row>
    <row r="1149" spans="1:65">
      <c r="A1149" s="224"/>
      <c r="B1149" s="1142"/>
      <c r="C1149" s="1142"/>
      <c r="D1149" s="1142"/>
      <c r="E1149" s="1142"/>
      <c r="F1149" s="1142"/>
      <c r="G1149" s="1142"/>
      <c r="H1149" s="1142"/>
      <c r="I1149" s="1142"/>
      <c r="J1149" s="1142"/>
      <c r="K1149" s="1142"/>
      <c r="L1149" s="1142"/>
      <c r="M1149" s="1142"/>
      <c r="N1149" s="225"/>
    </row>
    <row r="1150" spans="1:65">
      <c r="A1150" s="226"/>
      <c r="B1150" s="231"/>
      <c r="C1150" s="231"/>
      <c r="D1150" s="231"/>
      <c r="E1150" s="231"/>
      <c r="F1150" s="231"/>
      <c r="G1150" s="231"/>
      <c r="H1150" s="342"/>
      <c r="I1150" s="231"/>
      <c r="J1150" s="231"/>
      <c r="K1150" s="231"/>
      <c r="L1150" s="231"/>
      <c r="M1150" s="231"/>
      <c r="N1150" s="228"/>
    </row>
    <row r="1151" spans="1:65" ht="30" customHeight="1">
      <c r="A1151" s="220" t="s">
        <v>1148</v>
      </c>
      <c r="B1151" s="914" t="s">
        <v>1046</v>
      </c>
      <c r="C1151" s="914"/>
      <c r="D1151" s="914"/>
      <c r="E1151" s="914"/>
      <c r="F1151" s="914"/>
      <c r="G1151" s="914"/>
      <c r="H1151" s="914"/>
      <c r="I1151" s="914"/>
      <c r="J1151" s="914"/>
      <c r="K1151" s="914"/>
      <c r="L1151" s="221"/>
      <c r="M1151" s="222"/>
      <c r="N1151" s="223" t="s">
        <v>1149</v>
      </c>
    </row>
    <row r="1152" spans="1:65">
      <c r="A1152" s="224"/>
      <c r="B1152" s="24"/>
      <c r="C1152" s="24"/>
      <c r="D1152" s="24"/>
      <c r="E1152" s="24"/>
      <c r="F1152" s="24"/>
      <c r="G1152" s="24"/>
      <c r="H1152" s="340"/>
      <c r="I1152" s="24"/>
      <c r="J1152" s="24"/>
      <c r="K1152" s="24"/>
      <c r="L1152" s="24"/>
      <c r="M1152" s="24"/>
      <c r="N1152" s="225"/>
    </row>
    <row r="1153" spans="1:65">
      <c r="A1153" s="224"/>
      <c r="B1153" s="24"/>
      <c r="C1153" s="24"/>
      <c r="D1153" s="24"/>
      <c r="E1153" s="24"/>
      <c r="F1153" s="24"/>
      <c r="G1153" s="24"/>
      <c r="H1153" s="340"/>
      <c r="I1153" s="24"/>
      <c r="J1153" s="24"/>
      <c r="K1153" s="24"/>
      <c r="L1153" s="24"/>
      <c r="M1153" s="24"/>
      <c r="N1153" s="225"/>
    </row>
    <row r="1154" spans="1:65">
      <c r="A1154" s="224"/>
      <c r="B1154" s="24"/>
      <c r="C1154" s="24"/>
      <c r="D1154" s="24"/>
      <c r="E1154" s="24"/>
      <c r="F1154" s="24"/>
      <c r="G1154" s="24"/>
      <c r="H1154" s="340"/>
      <c r="I1154" s="24"/>
      <c r="J1154" s="24"/>
      <c r="K1154" s="24"/>
      <c r="L1154" s="24"/>
      <c r="M1154" s="24"/>
      <c r="N1154" s="225"/>
    </row>
    <row r="1155" spans="1:65" ht="19.95" customHeight="1">
      <c r="A1155" s="224"/>
      <c r="B1155" s="24"/>
      <c r="C1155" s="24"/>
      <c r="D1155" s="24"/>
      <c r="E1155" s="24"/>
      <c r="F1155" s="24"/>
      <c r="G1155" s="24"/>
      <c r="H1155" s="340"/>
      <c r="I1155" s="24"/>
      <c r="J1155" s="24"/>
      <c r="K1155" s="24"/>
      <c r="L1155" s="24"/>
      <c r="M1155" s="24"/>
      <c r="N1155" s="225"/>
    </row>
    <row r="1156" spans="1:65" ht="19.95" customHeight="1">
      <c r="A1156" s="224"/>
      <c r="B1156" s="24"/>
      <c r="C1156" s="24"/>
      <c r="D1156" s="24"/>
      <c r="E1156" s="24"/>
      <c r="F1156" s="24"/>
      <c r="G1156" s="24"/>
      <c r="H1156" s="340"/>
      <c r="I1156" s="24"/>
      <c r="J1156" s="24"/>
      <c r="K1156" s="24"/>
      <c r="L1156" s="24"/>
      <c r="M1156" s="24"/>
      <c r="N1156" s="225"/>
    </row>
    <row r="1157" spans="1:65" ht="19.95" customHeight="1">
      <c r="A1157" s="224"/>
      <c r="B1157" s="24"/>
      <c r="C1157" s="24"/>
      <c r="D1157" s="24"/>
      <c r="E1157" s="24"/>
      <c r="F1157" s="24"/>
      <c r="G1157" s="24"/>
      <c r="H1157" s="340"/>
      <c r="I1157" s="24"/>
      <c r="J1157" s="24"/>
      <c r="K1157" s="24"/>
      <c r="L1157" s="24"/>
      <c r="M1157" s="24"/>
      <c r="N1157" s="225"/>
    </row>
    <row r="1158" spans="1:65" ht="19.95" customHeight="1">
      <c r="A1158" s="224"/>
      <c r="B1158" s="24"/>
      <c r="C1158" s="24"/>
      <c r="D1158" s="24"/>
      <c r="E1158" s="24"/>
      <c r="F1158" s="24"/>
      <c r="G1158" s="24"/>
      <c r="H1158" s="340"/>
      <c r="I1158" s="24"/>
      <c r="J1158" s="24"/>
      <c r="K1158" s="24"/>
      <c r="L1158" s="24"/>
      <c r="M1158" s="24"/>
      <c r="N1158" s="225"/>
    </row>
    <row r="1159" spans="1:65" ht="19.95" customHeight="1">
      <c r="A1159" s="224"/>
      <c r="B1159" s="24"/>
      <c r="C1159" s="24"/>
      <c r="D1159" s="24"/>
      <c r="E1159" s="24"/>
      <c r="F1159" s="24"/>
      <c r="G1159" s="24"/>
      <c r="H1159" s="340"/>
      <c r="I1159" s="24"/>
      <c r="J1159" s="24"/>
      <c r="K1159" s="24"/>
      <c r="L1159" s="24"/>
      <c r="M1159" s="24"/>
      <c r="N1159" s="225"/>
    </row>
    <row r="1160" spans="1:65" ht="10.199999999999999" customHeight="1" thickBot="1">
      <c r="A1160" s="224"/>
      <c r="B1160" s="24"/>
      <c r="C1160" s="24"/>
      <c r="D1160" s="24"/>
      <c r="E1160" s="24"/>
      <c r="F1160" s="24"/>
      <c r="G1160" s="24"/>
      <c r="H1160" s="340"/>
      <c r="I1160" s="24"/>
      <c r="J1160" s="24"/>
      <c r="K1160" s="24"/>
      <c r="L1160" s="24"/>
      <c r="M1160" s="24"/>
      <c r="N1160" s="225"/>
    </row>
    <row r="1161" spans="1:65" ht="19.95" customHeight="1" thickTop="1">
      <c r="A1161" s="224"/>
      <c r="B1161" s="76" t="s">
        <v>460</v>
      </c>
      <c r="C1161" s="77"/>
      <c r="D1161" s="78"/>
      <c r="E1161" s="79" t="s">
        <v>461</v>
      </c>
      <c r="F1161" s="77"/>
      <c r="G1161" s="80"/>
      <c r="H1161" s="350" t="s">
        <v>1235</v>
      </c>
      <c r="I1161" s="63"/>
      <c r="J1161" s="64"/>
      <c r="K1161" s="65" t="s">
        <v>462</v>
      </c>
      <c r="L1161" s="63"/>
      <c r="M1161" s="66"/>
      <c r="N1161" s="225"/>
    </row>
    <row r="1162" spans="1:65" ht="19.95" customHeight="1">
      <c r="A1162" s="224"/>
      <c r="B1162" s="117" t="s">
        <v>25</v>
      </c>
      <c r="C1162" s="13"/>
      <c r="D1162" s="14"/>
      <c r="E1162" s="118" t="s">
        <v>28</v>
      </c>
      <c r="F1162" s="13"/>
      <c r="G1162" s="81"/>
      <c r="H1162" s="120" t="s">
        <v>25</v>
      </c>
      <c r="I1162" s="17"/>
      <c r="J1162" s="18"/>
      <c r="K1162" s="121" t="s">
        <v>29</v>
      </c>
      <c r="L1162" s="17"/>
      <c r="M1162" s="67"/>
      <c r="N1162" s="225"/>
    </row>
    <row r="1163" spans="1:65" ht="19.95" customHeight="1">
      <c r="A1163" s="224"/>
      <c r="B1163" s="82"/>
      <c r="C1163" s="8"/>
      <c r="D1163" s="9"/>
      <c r="E1163" s="1133" t="str">
        <f>IF(BB1165=0,"",BB1165)</f>
        <v>SOCIETAL INCLUSION</v>
      </c>
      <c r="F1163" s="1134"/>
      <c r="G1163" s="1135"/>
      <c r="H1163" s="351"/>
      <c r="I1163" s="19"/>
      <c r="J1163" s="20"/>
      <c r="K1163" s="1231" t="str">
        <f>IF(B1170="","",B1170)</f>
        <v>PERSONAL SECURITY</v>
      </c>
      <c r="L1163" s="1232"/>
      <c r="M1163" s="1233"/>
      <c r="N1163" s="225"/>
      <c r="BE1163" s="49" t="str">
        <f t="shared" ref="BE1163:BL1163" si="14">BE1120</f>
        <v>IMM</v>
      </c>
      <c r="BF1163" s="49" t="str">
        <f t="shared" si="14"/>
        <v>CLI</v>
      </c>
      <c r="BG1163" s="49" t="str">
        <f t="shared" si="14"/>
        <v>GUN</v>
      </c>
      <c r="BH1163" s="49" t="str">
        <f t="shared" si="14"/>
        <v>ABO</v>
      </c>
      <c r="BI1163" s="49" t="str">
        <f t="shared" si="14"/>
        <v>HEA</v>
      </c>
      <c r="BJ1163" s="49" t="str">
        <f t="shared" si="14"/>
        <v>CRI</v>
      </c>
      <c r="BK1163" s="49" t="str">
        <f t="shared" si="14"/>
        <v>ECO</v>
      </c>
      <c r="BL1163" s="49" t="str">
        <f t="shared" si="14"/>
        <v>RAC</v>
      </c>
    </row>
    <row r="1164" spans="1:65" ht="19.95" customHeight="1">
      <c r="A1164" s="224"/>
      <c r="B1164" s="1234" t="str">
        <f>IF(BB1164=0,"",BB1164)</f>
        <v>AUTHENTIC INDIVIDUALITY</v>
      </c>
      <c r="C1164" s="1235"/>
      <c r="D1164" s="1236"/>
      <c r="E1164" s="1133"/>
      <c r="F1164" s="1134"/>
      <c r="G1164" s="1135"/>
      <c r="H1164" s="1237" t="str">
        <f>IF(BB1168="","",BB1168)</f>
        <v>GROUP COHESION</v>
      </c>
      <c r="I1164" s="1238"/>
      <c r="J1164" s="1239"/>
      <c r="K1164" s="1231"/>
      <c r="L1164" s="1232"/>
      <c r="M1164" s="1233"/>
      <c r="N1164" s="225"/>
      <c r="BB1164" s="2" t="str">
        <f t="shared" ref="BB1164:BB1171" si="15">IF($C$1047=BB$1047,BE1164,IF($C$1047=BB$1048,BF1164,IF($C$1047=BB$1049,BG1164,IF($C$1047=BB$1050,BH1164,IF($C$1047=BB$1051,BI1164,IF($C$1047=BB$1052,BJ1164,IF($C$1047=BB$1053,BK1164,IF($C$1047=BB$1054,BL1164,""))))))))</f>
        <v>AUTHENTIC INDIVIDUALITY</v>
      </c>
      <c r="BD1164" s="50" t="s">
        <v>466</v>
      </c>
      <c r="BE1164" s="2" t="s">
        <v>30</v>
      </c>
      <c r="BF1164" s="2" t="s">
        <v>474</v>
      </c>
      <c r="BG1164" s="2" t="s">
        <v>478</v>
      </c>
      <c r="BH1164" s="2" t="s">
        <v>482</v>
      </c>
      <c r="BI1164" s="2" t="s">
        <v>485</v>
      </c>
      <c r="BJ1164" s="2" t="s">
        <v>489</v>
      </c>
      <c r="BK1164" s="2" t="s">
        <v>478</v>
      </c>
      <c r="BL1164" s="2" t="s">
        <v>496</v>
      </c>
      <c r="BM1164" s="47" t="s">
        <v>3</v>
      </c>
    </row>
    <row r="1165" spans="1:65" ht="19.95" customHeight="1">
      <c r="A1165" s="224"/>
      <c r="B1165" s="1234"/>
      <c r="C1165" s="1235"/>
      <c r="D1165" s="1236"/>
      <c r="E1165" s="10"/>
      <c r="F1165" s="8"/>
      <c r="G1165" s="83"/>
      <c r="H1165" s="1237"/>
      <c r="I1165" s="1238"/>
      <c r="J1165" s="1239"/>
      <c r="K1165" s="21"/>
      <c r="L1165" s="19"/>
      <c r="M1165" s="68"/>
      <c r="N1165" s="225"/>
      <c r="BB1165" s="2" t="str">
        <f t="shared" si="15"/>
        <v>SOCIETAL INCLUSION</v>
      </c>
      <c r="BD1165" s="50" t="s">
        <v>467</v>
      </c>
      <c r="BE1165" s="2" t="s">
        <v>31</v>
      </c>
      <c r="BF1165" s="2" t="s">
        <v>475</v>
      </c>
      <c r="BG1165" s="2" t="s">
        <v>479</v>
      </c>
      <c r="BH1165" s="2" t="s">
        <v>31</v>
      </c>
      <c r="BI1165" s="2" t="s">
        <v>486</v>
      </c>
      <c r="BJ1165" s="2" t="s">
        <v>490</v>
      </c>
      <c r="BK1165" s="2" t="s">
        <v>493</v>
      </c>
      <c r="BL1165" s="2" t="s">
        <v>497</v>
      </c>
      <c r="BM1165" s="47" t="s">
        <v>3</v>
      </c>
    </row>
    <row r="1166" spans="1:65" ht="19.95" customHeight="1">
      <c r="A1166" s="224"/>
      <c r="B1166" s="82"/>
      <c r="C1166" s="8"/>
      <c r="D1166" s="9"/>
      <c r="E1166" s="10"/>
      <c r="F1166" s="8"/>
      <c r="G1166" s="83"/>
      <c r="H1166" s="351"/>
      <c r="I1166" s="19"/>
      <c r="J1166" s="20"/>
      <c r="K1166" s="21"/>
      <c r="L1166" s="19"/>
      <c r="M1166" s="68"/>
      <c r="N1166" s="225"/>
      <c r="BB1166" s="2" t="str">
        <f t="shared" si="15"/>
        <v>PERSONAL SECURITY</v>
      </c>
      <c r="BD1166" s="50" t="s">
        <v>468</v>
      </c>
      <c r="BE1166" s="2" t="s">
        <v>32</v>
      </c>
      <c r="BF1166" s="2" t="s">
        <v>476</v>
      </c>
      <c r="BG1166" s="2" t="s">
        <v>480</v>
      </c>
      <c r="BH1166" s="2" t="s">
        <v>483</v>
      </c>
      <c r="BI1166" s="2" t="s">
        <v>487</v>
      </c>
      <c r="BJ1166" s="2" t="s">
        <v>491</v>
      </c>
      <c r="BK1166" s="2" t="s">
        <v>494</v>
      </c>
      <c r="BL1166" s="2" t="s">
        <v>498</v>
      </c>
      <c r="BM1166" s="47" t="s">
        <v>3</v>
      </c>
    </row>
    <row r="1167" spans="1:65" ht="19.95" customHeight="1" thickBot="1">
      <c r="A1167" s="224"/>
      <c r="B1167" s="84"/>
      <c r="C1167" s="51" t="s">
        <v>34</v>
      </c>
      <c r="D1167" s="52"/>
      <c r="E1167" s="53"/>
      <c r="F1167" s="51" t="s">
        <v>35</v>
      </c>
      <c r="G1167" s="85"/>
      <c r="H1167" s="352"/>
      <c r="I1167" s="54" t="s">
        <v>37</v>
      </c>
      <c r="J1167" s="55"/>
      <c r="K1167" s="56"/>
      <c r="L1167" s="54" t="s">
        <v>36</v>
      </c>
      <c r="M1167" s="69"/>
      <c r="N1167" s="225"/>
      <c r="BB1167" s="2" t="str">
        <f t="shared" si="15"/>
        <v>GROUP COHESION</v>
      </c>
      <c r="BD1167" s="50" t="s">
        <v>469</v>
      </c>
      <c r="BE1167" s="2" t="s">
        <v>33</v>
      </c>
      <c r="BF1167" s="2" t="s">
        <v>477</v>
      </c>
      <c r="BG1167" s="2" t="s">
        <v>481</v>
      </c>
      <c r="BH1167" s="2" t="s">
        <v>484</v>
      </c>
      <c r="BI1167" s="2" t="s">
        <v>488</v>
      </c>
      <c r="BJ1167" s="2" t="s">
        <v>492</v>
      </c>
      <c r="BK1167" s="2" t="s">
        <v>495</v>
      </c>
      <c r="BL1167" s="2" t="s">
        <v>499</v>
      </c>
      <c r="BM1167" s="47" t="s">
        <v>3</v>
      </c>
    </row>
    <row r="1168" spans="1:65" ht="19.95" customHeight="1">
      <c r="A1168" s="224"/>
      <c r="B1168" s="86" t="s">
        <v>465</v>
      </c>
      <c r="C1168" s="57"/>
      <c r="D1168" s="58"/>
      <c r="E1168" s="59" t="s">
        <v>464</v>
      </c>
      <c r="F1168" s="57"/>
      <c r="G1168" s="87"/>
      <c r="H1168" s="353" t="s">
        <v>1236</v>
      </c>
      <c r="I1168" s="60"/>
      <c r="J1168" s="61"/>
      <c r="K1168" s="62" t="s">
        <v>463</v>
      </c>
      <c r="L1168" s="60"/>
      <c r="M1168" s="70"/>
      <c r="N1168" s="225"/>
      <c r="BB1168" s="2" t="str">
        <f t="shared" si="15"/>
        <v>GROUP COHESION</v>
      </c>
      <c r="BD1168" s="50" t="s">
        <v>470</v>
      </c>
      <c r="BE1168" s="2" t="str">
        <f>BE1167</f>
        <v>GROUP COHESION</v>
      </c>
      <c r="BF1168" s="2" t="str">
        <f t="shared" ref="BF1168:BL1168" si="16">BF1167</f>
        <v>ECONOMIC COOPERATION</v>
      </c>
      <c r="BG1168" s="2" t="str">
        <f t="shared" si="16"/>
        <v>LOCALIZED SAFETY</v>
      </c>
      <c r="BH1168" s="2" t="str">
        <f t="shared" si="16"/>
        <v>FAMILIAL BONDING</v>
      </c>
      <c r="BI1168" s="2" t="str">
        <f t="shared" si="16"/>
        <v>ACCESSIBLE EFFICIENCY</v>
      </c>
      <c r="BJ1168" s="2" t="str">
        <f t="shared" si="16"/>
        <v>PUBLICLY SAFE</v>
      </c>
      <c r="BK1168" s="2" t="str">
        <f t="shared" si="16"/>
        <v>MARKET SYNERGY</v>
      </c>
      <c r="BL1168" s="2" t="str">
        <f t="shared" si="16"/>
        <v>DEEPER TIES</v>
      </c>
      <c r="BM1168" s="47" t="s">
        <v>3</v>
      </c>
    </row>
    <row r="1169" spans="1:65" ht="19.95" customHeight="1">
      <c r="A1169" s="224"/>
      <c r="B1169" s="122" t="s">
        <v>27</v>
      </c>
      <c r="C1169" s="11"/>
      <c r="D1169" s="12"/>
      <c r="E1169" s="123" t="s">
        <v>26</v>
      </c>
      <c r="F1169" s="11"/>
      <c r="G1169" s="88"/>
      <c r="H1169" s="124" t="s">
        <v>27</v>
      </c>
      <c r="I1169" s="22"/>
      <c r="J1169" s="23"/>
      <c r="K1169" s="119" t="s">
        <v>26</v>
      </c>
      <c r="L1169" s="22"/>
      <c r="M1169" s="71"/>
      <c r="N1169" s="225"/>
      <c r="BB1169" s="2" t="str">
        <f t="shared" si="15"/>
        <v>PERSONAL SECURITY</v>
      </c>
      <c r="BD1169" s="50" t="s">
        <v>471</v>
      </c>
      <c r="BE1169" s="2" t="str">
        <f>BE1166</f>
        <v>PERSONAL SECURITY</v>
      </c>
      <c r="BF1169" s="2" t="str">
        <f t="shared" ref="BF1169:BL1169" si="17">BF1166</f>
        <v>SELF-DETERMINATION</v>
      </c>
      <c r="BG1169" s="2" t="str">
        <f t="shared" si="17"/>
        <v>SELF-SUFFICIENCY</v>
      </c>
      <c r="BH1169" s="2" t="str">
        <f t="shared" si="17"/>
        <v>SELF-POTENTIAL</v>
      </c>
      <c r="BI1169" s="2" t="str">
        <f t="shared" si="17"/>
        <v>OPTIMAL HEALTH</v>
      </c>
      <c r="BJ1169" s="2" t="str">
        <f t="shared" si="17"/>
        <v>PERSONAL RESPONSIBILITY</v>
      </c>
      <c r="BK1169" s="2" t="str">
        <f t="shared" si="17"/>
        <v>CREATIVE POTENTIAL</v>
      </c>
      <c r="BL1169" s="2" t="str">
        <f t="shared" si="17"/>
        <v>SELF-ACCEPTANCE</v>
      </c>
      <c r="BM1169" s="47" t="s">
        <v>3</v>
      </c>
    </row>
    <row r="1170" spans="1:65" ht="19.95" customHeight="1">
      <c r="A1170" s="224"/>
      <c r="B1170" s="1121" t="str">
        <f>IF(BB1166=0,"",BB1166)</f>
        <v>PERSONAL SECURITY</v>
      </c>
      <c r="C1170" s="1122"/>
      <c r="D1170" s="1123"/>
      <c r="E1170" s="10"/>
      <c r="F1170" s="8"/>
      <c r="G1170" s="83"/>
      <c r="H1170" s="1124" t="str">
        <f>IF(E1163="","",E1163)</f>
        <v>SOCIETAL INCLUSION</v>
      </c>
      <c r="I1170" s="1125"/>
      <c r="J1170" s="1126"/>
      <c r="K1170" s="21"/>
      <c r="L1170" s="19"/>
      <c r="M1170" s="68"/>
      <c r="N1170" s="225"/>
      <c r="BB1170" s="2" t="str">
        <f t="shared" si="15"/>
        <v>SOCIETAL INCLUSION</v>
      </c>
      <c r="BD1170" s="50" t="s">
        <v>472</v>
      </c>
      <c r="BE1170" s="2" t="str">
        <f>BE1165</f>
        <v>SOCIETAL INCLUSION</v>
      </c>
      <c r="BF1170" s="2" t="str">
        <f t="shared" ref="BF1170:BL1170" si="18">BF1165</f>
        <v>FAIR ACCESS</v>
      </c>
      <c r="BG1170" s="2" t="str">
        <f t="shared" si="18"/>
        <v>ID GROUP SAFETY</v>
      </c>
      <c r="BH1170" s="2" t="str">
        <f t="shared" si="18"/>
        <v>SOCIETAL INCLUSION</v>
      </c>
      <c r="BI1170" s="2" t="str">
        <f t="shared" si="18"/>
        <v>AFFORDABLE EFFICACY</v>
      </c>
      <c r="BJ1170" s="2" t="str">
        <f t="shared" si="18"/>
        <v>CULTURAL INCLUSION</v>
      </c>
      <c r="BK1170" s="2" t="str">
        <f t="shared" si="18"/>
        <v>FULL ECONOMIC PARTICIPATION</v>
      </c>
      <c r="BL1170" s="2" t="str">
        <f t="shared" si="18"/>
        <v>NO ETHNIC DISCRIMINATION</v>
      </c>
      <c r="BM1170" s="47" t="s">
        <v>3</v>
      </c>
    </row>
    <row r="1171" spans="1:65" ht="19.95" customHeight="1">
      <c r="A1171" s="224"/>
      <c r="B1171" s="1121"/>
      <c r="C1171" s="1122"/>
      <c r="D1171" s="1123"/>
      <c r="E1171" s="1127" t="str">
        <f>IF(BB1167=0,"",BB1167)</f>
        <v>GROUP COHESION</v>
      </c>
      <c r="F1171" s="1128"/>
      <c r="G1171" s="1129"/>
      <c r="H1171" s="1124"/>
      <c r="I1171" s="1125"/>
      <c r="J1171" s="1126"/>
      <c r="K1171" s="1130" t="str">
        <f>IF(B1164="","",B1164)</f>
        <v>AUTHENTIC INDIVIDUALITY</v>
      </c>
      <c r="L1171" s="1131"/>
      <c r="M1171" s="1132"/>
      <c r="N1171" s="225"/>
      <c r="BB1171" s="2" t="str">
        <f t="shared" si="15"/>
        <v>AUTHENTIC INDIVIDUALITY</v>
      </c>
      <c r="BD1171" s="50" t="s">
        <v>473</v>
      </c>
      <c r="BE1171" s="2" t="str">
        <f>BE1164</f>
        <v>AUTHENTIC INDIVIDUALITY</v>
      </c>
      <c r="BF1171" s="2" t="str">
        <f t="shared" ref="BF1171:BL1171" si="19">BF1164</f>
        <v>SELF-RESPONSIBILITY</v>
      </c>
      <c r="BG1171" s="2" t="str">
        <f t="shared" si="19"/>
        <v>VULNERABLY DIFFERENT</v>
      </c>
      <c r="BH1171" s="2" t="str">
        <f t="shared" si="19"/>
        <v>BODILY AUTONOMY</v>
      </c>
      <c r="BI1171" s="2" t="str">
        <f t="shared" si="19"/>
        <v>BASIC HEALTH</v>
      </c>
      <c r="BJ1171" s="2" t="str">
        <f t="shared" si="19"/>
        <v>LEGALLY DIFFERENT</v>
      </c>
      <c r="BK1171" s="2" t="str">
        <f t="shared" si="19"/>
        <v>VULNERABLY DIFFERENT</v>
      </c>
      <c r="BL1171" s="2" t="str">
        <f t="shared" si="19"/>
        <v>CULTURALLY DIFFERENT</v>
      </c>
      <c r="BM1171" s="47" t="s">
        <v>3</v>
      </c>
    </row>
    <row r="1172" spans="1:65" ht="19.95" customHeight="1">
      <c r="A1172" s="224"/>
      <c r="B1172" s="82"/>
      <c r="C1172" s="8"/>
      <c r="D1172" s="9"/>
      <c r="E1172" s="1127"/>
      <c r="F1172" s="1128"/>
      <c r="G1172" s="1129"/>
      <c r="H1172" s="351"/>
      <c r="I1172" s="19"/>
      <c r="J1172" s="20"/>
      <c r="K1172" s="1130"/>
      <c r="L1172" s="1131"/>
      <c r="M1172" s="1132"/>
      <c r="N1172" s="225"/>
    </row>
    <row r="1173" spans="1:65" ht="19.95" customHeight="1">
      <c r="A1173" s="224"/>
      <c r="B1173" s="82"/>
      <c r="C1173" s="8"/>
      <c r="D1173" s="9"/>
      <c r="E1173" s="10"/>
      <c r="F1173" s="8"/>
      <c r="G1173" s="83"/>
      <c r="H1173" s="351"/>
      <c r="I1173" s="19"/>
      <c r="J1173" s="20"/>
      <c r="K1173" s="21"/>
      <c r="L1173" s="19"/>
      <c r="M1173" s="68"/>
      <c r="N1173" s="225"/>
      <c r="BB1173" s="159" t="s">
        <v>1079</v>
      </c>
      <c r="BD1173" s="2" t="str">
        <f>CONCATENATE(BE1173,BF1173,BG1173)</f>
        <v xml:space="preserve">You're likely a political junkie or policy wonk. You trust politics to help solve just about any immigration problem. </v>
      </c>
      <c r="BE1173" s="2" t="s">
        <v>1084</v>
      </c>
      <c r="BF1173" s="2" t="str">
        <f>IF($C$1047="","social",IF($C$1047=$BB1047,$BF1047,IF($C$1047=$BB1048,$BF1048,IF($C$1047=$BB1049,$BF1049,IF($C$1047=$BB1050,$BF1050,IF($C$1047=$BB1051,$BF1051,IF($C$1047=$BB1052,$BF1052,IF($C$1047=$BB1053,$BF1053,IF($C$1047=$BB1054,$BF1054)))))))))</f>
        <v>immigration</v>
      </c>
      <c r="BG1173" s="2" t="s">
        <v>1085</v>
      </c>
    </row>
    <row r="1174" spans="1:65" ht="19.95" customHeight="1" thickBot="1">
      <c r="A1174" s="224"/>
      <c r="B1174" s="89"/>
      <c r="C1174" s="90" t="s">
        <v>36</v>
      </c>
      <c r="D1174" s="91"/>
      <c r="E1174" s="92"/>
      <c r="F1174" s="90" t="s">
        <v>37</v>
      </c>
      <c r="G1174" s="93"/>
      <c r="H1174" s="354"/>
      <c r="I1174" s="72" t="s">
        <v>35</v>
      </c>
      <c r="J1174" s="73"/>
      <c r="K1174" s="74"/>
      <c r="L1174" s="72" t="s">
        <v>34</v>
      </c>
      <c r="M1174" s="75"/>
      <c r="N1174" s="225"/>
      <c r="BB1174" s="159" t="s">
        <v>1080</v>
      </c>
      <c r="BD1174" s="2" t="str">
        <f>CONCATENATE(BE1174,BF1174,BG1174)</f>
        <v xml:space="preserve">You likely follow all levels of a political campaign. You put up with politics as the best means to address immigration problems. </v>
      </c>
      <c r="BE1174" s="2" t="s">
        <v>1087</v>
      </c>
      <c r="BF1174" s="2" t="str">
        <f>BF1173</f>
        <v>immigration</v>
      </c>
      <c r="BG1174" s="2" t="s">
        <v>1086</v>
      </c>
    </row>
    <row r="1175" spans="1:65" ht="15" thickTop="1" thickBot="1">
      <c r="A1175" s="224"/>
      <c r="B1175" s="24"/>
      <c r="C1175" s="24"/>
      <c r="D1175" s="24"/>
      <c r="E1175" s="24"/>
      <c r="F1175" s="24"/>
      <c r="G1175" s="24"/>
      <c r="H1175" s="340"/>
      <c r="I1175" s="24"/>
      <c r="J1175" s="24"/>
      <c r="K1175" s="24"/>
      <c r="L1175" s="24"/>
      <c r="M1175" s="24"/>
      <c r="N1175" s="225"/>
      <c r="BB1175" s="159" t="s">
        <v>1081</v>
      </c>
      <c r="BD1175" s="2" t="str">
        <f>CONCATENATE(BE1175,BF1175,BG1175)</f>
        <v xml:space="preserve">You likely listen to political news skeptically, if at all. You wish for something better than politics to address immigration problems. </v>
      </c>
      <c r="BE1175" s="2" t="s">
        <v>1088</v>
      </c>
      <c r="BF1175" s="2" t="str">
        <f>BF1174</f>
        <v>immigration</v>
      </c>
      <c r="BG1175" s="2" t="s">
        <v>1086</v>
      </c>
    </row>
    <row r="1176" spans="1:65" ht="13.95" customHeight="1">
      <c r="A1176" s="224"/>
      <c r="B1176" s="24"/>
      <c r="C1176" s="24"/>
      <c r="D1176" s="24"/>
      <c r="E1176" s="24"/>
      <c r="F1176" s="24"/>
      <c r="G1176" s="1266"/>
      <c r="H1176" s="1267"/>
      <c r="I1176" s="1267"/>
      <c r="J1176" s="1267"/>
      <c r="K1176" s="1267"/>
      <c r="L1176" s="1267"/>
      <c r="M1176" s="1268"/>
      <c r="N1176" s="225"/>
      <c r="BB1176" s="159" t="s">
        <v>1082</v>
      </c>
      <c r="BD1176" s="2" t="str">
        <f>CONCATENATE(BE1176,BF1176,BG1176)</f>
        <v xml:space="preserve">You likely ignore political news and only vote once every four years. You doubt politics can truly solve any immigration problem. </v>
      </c>
      <c r="BE1176" s="2" t="s">
        <v>1089</v>
      </c>
      <c r="BF1176" s="2" t="str">
        <f>BF1175</f>
        <v>immigration</v>
      </c>
      <c r="BG1176" s="2" t="s">
        <v>1085</v>
      </c>
    </row>
    <row r="1177" spans="1:65" ht="13.95" customHeight="1" thickBot="1">
      <c r="A1177" s="224"/>
      <c r="B1177" s="24"/>
      <c r="C1177" s="24"/>
      <c r="D1177" s="24"/>
      <c r="E1177" s="24"/>
      <c r="F1177" s="24"/>
      <c r="G1177" s="1269"/>
      <c r="H1177" s="1270"/>
      <c r="I1177" s="1270"/>
      <c r="J1177" s="1270"/>
      <c r="K1177" s="1270"/>
      <c r="L1177" s="1270"/>
      <c r="M1177" s="1271"/>
      <c r="N1177" s="225"/>
      <c r="BB1177" s="159" t="s">
        <v>1083</v>
      </c>
      <c r="BD1177" s="2" t="str">
        <f>CONCATENATE(BE1177,BF1177,BG1177)</f>
        <v xml:space="preserve">You're likely disillusioned with politics and don't even vote. You're convinced politics can never solve any immigration problem. </v>
      </c>
      <c r="BE1177" s="2" t="s">
        <v>1090</v>
      </c>
      <c r="BF1177" s="2" t="str">
        <f>BF1176</f>
        <v>immigration</v>
      </c>
      <c r="BG1177" s="2" t="s">
        <v>1085</v>
      </c>
    </row>
    <row r="1178" spans="1:65" ht="13.95" customHeight="1">
      <c r="A1178" s="224"/>
      <c r="B1178" s="1265" t="str">
        <f>BB1180</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C1178" s="1265"/>
      <c r="D1178" s="1265"/>
      <c r="E1178" s="1265"/>
      <c r="F1178" s="1265"/>
      <c r="G1178" s="1265"/>
      <c r="H1178" s="1265"/>
      <c r="I1178" s="1265"/>
      <c r="J1178" s="1265"/>
      <c r="K1178" s="1265"/>
      <c r="L1178" s="1265"/>
      <c r="M1178" s="1265"/>
      <c r="N1178" s="225"/>
      <c r="BD1178" s="37" t="str">
        <f>CONCATENATE(BE1178)</f>
        <v xml:space="preserve">No matter how you feel about politics, this SWOT tool can add discipline to an otherwise free-for-all mess. </v>
      </c>
      <c r="BE1178" s="2" t="s">
        <v>1102</v>
      </c>
      <c r="BF1178" s="2" t="str">
        <f>IF($C$1047="","",IF($C$1047=$BB1047,$BF1047,IF($C$1047=$BB1048,$BF1048,IF($C$1047=$BB1049,$BF1049,IF($C$1047=$BB1050,$BF1050,IF($C$1047=$BB1051,$BF1051,IF($C$1047=$BB1052,$BF1052,IF($C$1047=$BB1053,$BF1053,IF($C$1047=$BB1054,$BF1054)))))))))</f>
        <v>immigration</v>
      </c>
      <c r="BG1178" s="2" t="s">
        <v>1091</v>
      </c>
      <c r="BH1178" s="2" t="str">
        <f>BF1178</f>
        <v>immigration</v>
      </c>
      <c r="BI1178" s="2" t="s">
        <v>1092</v>
      </c>
    </row>
    <row r="1179" spans="1:65" ht="13.95" customHeight="1">
      <c r="A1179" s="224"/>
      <c r="B1179" s="1265"/>
      <c r="C1179" s="1265"/>
      <c r="D1179" s="1265"/>
      <c r="E1179" s="1265"/>
      <c r="F1179" s="1265"/>
      <c r="G1179" s="1265"/>
      <c r="H1179" s="1265"/>
      <c r="I1179" s="1265"/>
      <c r="J1179" s="1265"/>
      <c r="K1179" s="1265"/>
      <c r="L1179" s="1265"/>
      <c r="M1179" s="1265"/>
      <c r="N1179" s="225"/>
      <c r="BD1179" s="2" t="str">
        <f>IF(G1176=BB1173,BD1173,IF(G1176=BB1174,BD1174,IF(G1176=BB1175,BD1175,IF(G1175=BB1176,BD1176,IF(G1176=BB1177,BD1177,"")))))</f>
        <v/>
      </c>
    </row>
    <row r="1180" spans="1:65" ht="13.95" customHeight="1">
      <c r="A1180" s="224"/>
      <c r="B1180" s="1265"/>
      <c r="C1180" s="1265"/>
      <c r="D1180" s="1265"/>
      <c r="E1180" s="1265"/>
      <c r="F1180" s="1265"/>
      <c r="G1180" s="1265"/>
      <c r="H1180" s="1265"/>
      <c r="I1180" s="1265"/>
      <c r="J1180" s="1265"/>
      <c r="K1180" s="1265"/>
      <c r="L1180" s="1265"/>
      <c r="M1180" s="1265"/>
      <c r="N1180" s="225"/>
      <c r="BB1180" s="2" t="str">
        <f>IF($G$1176="",BD1180,CONCATENATE(BD1179,BD1178))</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BD1180" s="37" t="str">
        <f>CONCATENATE(BE1180,BF1180,BG1180,)</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BE1180" s="2" t="str">
        <f>IF($C$1047="","Politics ",IF($C$1047=$BB1047,$BH1047,IF($C$1047=$BB1048,$BH1048,IF($C$1047=$BB1049,$BH1049,IF($C$1047=$BB1050,$BH1050,IF($C$1047=$BB1051,$BH1051,IF($C$1047=$BB1052,$BH1052,IF($C$1047=$BB1053,$BH1053,IF($C$1047=$BB1054,$BH1054)))))))))</f>
        <v>Immigration</v>
      </c>
      <c r="BF1180" s="2" t="str">
        <f>IF(G1176=""," views ","")</f>
        <v xml:space="preserve"> views </v>
      </c>
      <c r="BG1180" s="2" t="s">
        <v>1101</v>
      </c>
    </row>
    <row r="1181" spans="1:65" ht="13.95" customHeight="1">
      <c r="A1181" s="224"/>
      <c r="B1181" s="1265"/>
      <c r="C1181" s="1265"/>
      <c r="D1181" s="1265"/>
      <c r="E1181" s="1265"/>
      <c r="F1181" s="1265"/>
      <c r="G1181" s="1265"/>
      <c r="H1181" s="1265"/>
      <c r="I1181" s="1265"/>
      <c r="J1181" s="1265"/>
      <c r="K1181" s="1265"/>
      <c r="L1181" s="1265"/>
      <c r="M1181" s="1265"/>
      <c r="N1181" s="225"/>
    </row>
    <row r="1182" spans="1:65" ht="13.95" customHeight="1">
      <c r="A1182" s="224"/>
      <c r="B1182" s="1265" t="str">
        <f>BB1182</f>
        <v xml:space="preserve">For the wide-oriented, liberalism is less about guarding self-needs (by resisting traditional historical pressures to conform to old moral norms), and more about countering the Right’s resistance to relieve the Left's less resolved social-needs. Politics is social. </v>
      </c>
      <c r="C1182" s="1265"/>
      <c r="D1182" s="1265"/>
      <c r="E1182" s="1265"/>
      <c r="F1182" s="1265"/>
      <c r="G1182" s="1265"/>
      <c r="H1182" s="1265"/>
      <c r="I1182" s="1265"/>
      <c r="J1182" s="1265"/>
      <c r="K1182" s="1265"/>
      <c r="L1182" s="1265"/>
      <c r="M1182" s="1265"/>
      <c r="N1182" s="225"/>
      <c r="BB1182" s="2" t="str">
        <f>IF($G$1176="",BD1183,BD1182)</f>
        <v xml:space="preserve">For the wide-oriented, liberalism is less about guarding self-needs (by resisting traditional historical pressures to conform to old moral norms), and more about countering the Right’s resistance to relieve the Left's less resolved social-needs. Politics is social. </v>
      </c>
      <c r="BD1182" s="37" t="str">
        <f>CONCATENATE(BE1182,BF1182,BG1182,BH1182,BI1182,BJ1182)</f>
        <v>The other side's political weakness around their political views provides you opportunity. You can create value for them from the solid ground of your political strengths. Let them reciprocate by providing value to your political weakness. In short, overcome polarization by demanding less, giving more.</v>
      </c>
      <c r="BE1182" s="2" t="s">
        <v>1103</v>
      </c>
      <c r="BF1182" s="2" t="str">
        <f>IF($C$1047="","",IF($C$1047=$BB1051,$BF1051,IF($C$1047=$BB1052,$BF1052,IF($C$1047=$BB1053,$BF1053,IF($C$1047=$BB1054,$BF1054,IF($C$1047=$BB1055,$BF1055,IF($C$1047=$BB1056,$BF1056,IF($C$1047=$BB1057,$BF1057,IF($C$1047=$BB1058,$BF1058,"political")))))))))</f>
        <v>political</v>
      </c>
      <c r="BG1182" s="2" t="s">
        <v>1091</v>
      </c>
      <c r="BH1182" s="2" t="str">
        <f>BF1182</f>
        <v>political</v>
      </c>
      <c r="BI1182" s="2" t="s">
        <v>1104</v>
      </c>
    </row>
    <row r="1183" spans="1:65" ht="13.95" customHeight="1">
      <c r="A1183" s="224"/>
      <c r="B1183" s="1265"/>
      <c r="C1183" s="1265"/>
      <c r="D1183" s="1265"/>
      <c r="E1183" s="1265"/>
      <c r="F1183" s="1265"/>
      <c r="G1183" s="1265"/>
      <c r="H1183" s="1265"/>
      <c r="I1183" s="1265"/>
      <c r="J1183" s="1265"/>
      <c r="K1183" s="1265"/>
      <c r="L1183" s="1265"/>
      <c r="M1183" s="1265"/>
      <c r="N1183" s="225"/>
      <c r="BD1183" s="2" t="s">
        <v>1151</v>
      </c>
    </row>
    <row r="1184" spans="1:65" ht="13.95" customHeight="1">
      <c r="A1184" s="224"/>
      <c r="B1184" s="1265"/>
      <c r="C1184" s="1265"/>
      <c r="D1184" s="1265"/>
      <c r="E1184" s="1265"/>
      <c r="F1184" s="1265"/>
      <c r="G1184" s="1265"/>
      <c r="H1184" s="1265"/>
      <c r="I1184" s="1265"/>
      <c r="J1184" s="1265"/>
      <c r="K1184" s="1265"/>
      <c r="L1184" s="1265"/>
      <c r="M1184" s="1265"/>
      <c r="N1184" s="225"/>
    </row>
    <row r="1185" spans="1:56" ht="13.95" customHeight="1">
      <c r="A1185" s="224"/>
      <c r="B1185" s="1265"/>
      <c r="C1185" s="1265"/>
      <c r="D1185" s="1265"/>
      <c r="E1185" s="1265"/>
      <c r="F1185" s="1265"/>
      <c r="G1185" s="1265"/>
      <c r="H1185" s="1265"/>
      <c r="I1185" s="1265"/>
      <c r="J1185" s="1265"/>
      <c r="K1185" s="1265"/>
      <c r="L1185" s="1265"/>
      <c r="M1185" s="1265"/>
      <c r="N1185" s="225"/>
      <c r="BB1185" s="2" t="str">
        <f>IF($G$1176="",BD1186,BD1185)</f>
        <v xml:space="preserve">For the deep-oriented, conservatism is less about relieving self-needs (when asserting individual rights and personal responsibility), and more about countering the Left’s impact by guarding the Right's more resolved social-needs. Politics is social. </v>
      </c>
      <c r="BD1185" s="2" t="s">
        <v>1105</v>
      </c>
    </row>
    <row r="1186" spans="1:56" ht="13.95" customHeight="1">
      <c r="A1186" s="224"/>
      <c r="B1186" s="1265" t="str">
        <f>BB1185</f>
        <v xml:space="preserve">For the deep-oriented, conservatism is less about relieving self-needs (when asserting individual rights and personal responsibility), and more about countering the Left’s impact by guarding the Right's more resolved social-needs. Politics is social. </v>
      </c>
      <c r="C1186" s="1265"/>
      <c r="D1186" s="1265"/>
      <c r="E1186" s="1265"/>
      <c r="F1186" s="1265"/>
      <c r="G1186" s="1265"/>
      <c r="H1186" s="1265"/>
      <c r="I1186" s="1265"/>
      <c r="J1186" s="1265"/>
      <c r="K1186" s="1265"/>
      <c r="L1186" s="1265"/>
      <c r="M1186" s="1265"/>
      <c r="N1186" s="225"/>
      <c r="BD1186" s="2" t="s">
        <v>1152</v>
      </c>
    </row>
    <row r="1187" spans="1:56" ht="13.95" customHeight="1">
      <c r="A1187" s="224"/>
      <c r="B1187" s="1265"/>
      <c r="C1187" s="1265"/>
      <c r="D1187" s="1265"/>
      <c r="E1187" s="1265"/>
      <c r="F1187" s="1265"/>
      <c r="G1187" s="1265"/>
      <c r="H1187" s="1265"/>
      <c r="I1187" s="1265"/>
      <c r="J1187" s="1265"/>
      <c r="K1187" s="1265"/>
      <c r="L1187" s="1265"/>
      <c r="M1187" s="1265"/>
      <c r="N1187" s="225"/>
    </row>
    <row r="1188" spans="1:56">
      <c r="A1188" s="224"/>
      <c r="B1188" s="1265"/>
      <c r="C1188" s="1265"/>
      <c r="D1188" s="1265"/>
      <c r="E1188" s="1265"/>
      <c r="F1188" s="1265"/>
      <c r="G1188" s="1265"/>
      <c r="H1188" s="1265"/>
      <c r="I1188" s="1265"/>
      <c r="J1188" s="1265"/>
      <c r="K1188" s="1265"/>
      <c r="L1188" s="1265"/>
      <c r="M1188" s="1265"/>
      <c r="N1188" s="225"/>
    </row>
    <row r="1189" spans="1:56">
      <c r="A1189" s="224"/>
      <c r="B1189" s="1265"/>
      <c r="C1189" s="1265"/>
      <c r="D1189" s="1265"/>
      <c r="E1189" s="1265"/>
      <c r="F1189" s="1265"/>
      <c r="G1189" s="1265"/>
      <c r="H1189" s="1265"/>
      <c r="I1189" s="1265"/>
      <c r="J1189" s="1265"/>
      <c r="K1189" s="1265"/>
      <c r="L1189" s="1265"/>
      <c r="M1189" s="1265"/>
      <c r="N1189" s="225"/>
    </row>
    <row r="1190" spans="1:56" ht="7.95" customHeight="1">
      <c r="A1190" s="226"/>
      <c r="B1190" s="235"/>
      <c r="C1190" s="235"/>
      <c r="D1190" s="235"/>
      <c r="E1190" s="235"/>
      <c r="F1190" s="235"/>
      <c r="G1190" s="235"/>
      <c r="H1190" s="355"/>
      <c r="I1190" s="235"/>
      <c r="J1190" s="235"/>
      <c r="K1190" s="235"/>
      <c r="L1190" s="235"/>
      <c r="M1190" s="235"/>
      <c r="N1190" s="228"/>
    </row>
    <row r="1191" spans="1:56" ht="30" customHeight="1">
      <c r="A1191" s="220" t="s">
        <v>1148</v>
      </c>
      <c r="B1191" s="915" t="s">
        <v>1171</v>
      </c>
      <c r="C1191" s="915"/>
      <c r="D1191" s="915"/>
      <c r="E1191" s="915"/>
      <c r="F1191" s="915"/>
      <c r="G1191" s="915"/>
      <c r="H1191" s="915"/>
      <c r="I1191" s="915"/>
      <c r="J1191" s="915"/>
      <c r="K1191" s="915"/>
      <c r="L1191" s="915"/>
      <c r="M1191" s="222"/>
      <c r="N1191" s="223" t="s">
        <v>1149</v>
      </c>
    </row>
    <row r="1192" spans="1:56">
      <c r="A1192" s="224"/>
      <c r="B1192" s="24"/>
      <c r="C1192" s="24"/>
      <c r="D1192" s="24"/>
      <c r="E1192" s="24"/>
      <c r="F1192" s="24"/>
      <c r="G1192" s="24"/>
      <c r="H1192" s="340"/>
      <c r="I1192" s="24"/>
      <c r="J1192" s="24"/>
      <c r="K1192" s="24"/>
      <c r="L1192" s="24"/>
      <c r="M1192" s="24"/>
      <c r="N1192" s="225"/>
    </row>
    <row r="1193" spans="1:56">
      <c r="A1193" s="224"/>
      <c r="B1193" s="24"/>
      <c r="C1193" s="24"/>
      <c r="D1193" s="24"/>
      <c r="E1193" s="24"/>
      <c r="F1193" s="24"/>
      <c r="G1193" s="24"/>
      <c r="H1193" s="340"/>
      <c r="I1193" s="24"/>
      <c r="J1193" s="24"/>
      <c r="K1193" s="24"/>
      <c r="L1193" s="24"/>
      <c r="M1193" s="24"/>
      <c r="N1193" s="225"/>
    </row>
    <row r="1194" spans="1:56">
      <c r="A1194" s="224"/>
      <c r="B1194" s="24"/>
      <c r="C1194" s="24"/>
      <c r="D1194" s="24"/>
      <c r="E1194" s="24"/>
      <c r="F1194" s="24"/>
      <c r="G1194" s="24"/>
      <c r="H1194" s="340"/>
      <c r="I1194" s="24"/>
      <c r="J1194" s="24"/>
      <c r="K1194" s="24"/>
      <c r="L1194" s="24"/>
      <c r="M1194" s="24"/>
      <c r="N1194" s="225"/>
    </row>
    <row r="1195" spans="1:56">
      <c r="A1195" s="224"/>
      <c r="B1195" s="24"/>
      <c r="C1195" s="24"/>
      <c r="D1195" s="24"/>
      <c r="E1195" s="24"/>
      <c r="F1195" s="24"/>
      <c r="G1195" s="24"/>
      <c r="H1195" s="340"/>
      <c r="I1195" s="24"/>
      <c r="J1195" s="24"/>
      <c r="K1195" s="24"/>
      <c r="L1195" s="24"/>
      <c r="M1195" s="24"/>
      <c r="N1195" s="225"/>
    </row>
    <row r="1196" spans="1:56" ht="14.4" customHeight="1">
      <c r="A1196" s="224"/>
      <c r="B1196" s="24"/>
      <c r="C1196" s="24"/>
      <c r="D1196" s="24"/>
      <c r="E1196" s="24"/>
      <c r="F1196" s="24"/>
      <c r="G1196" s="24"/>
      <c r="H1196" s="340"/>
      <c r="I1196" s="24"/>
      <c r="J1196" s="24"/>
      <c r="K1196" s="24"/>
      <c r="L1196" s="24"/>
      <c r="M1196" s="24"/>
      <c r="N1196" s="225"/>
    </row>
    <row r="1197" spans="1:56" ht="13.95" customHeight="1">
      <c r="A1197" s="224"/>
      <c r="B1197" s="24"/>
      <c r="C1197" s="24"/>
      <c r="D1197" s="24"/>
      <c r="E1197" s="24"/>
      <c r="F1197" s="24"/>
      <c r="G1197" s="24"/>
      <c r="H1197" s="340"/>
      <c r="I1197" s="24"/>
      <c r="J1197" s="24"/>
      <c r="K1197" s="24"/>
      <c r="L1197" s="24"/>
      <c r="M1197" s="24"/>
      <c r="N1197" s="225"/>
    </row>
    <row r="1198" spans="1:56" ht="14.4" customHeight="1">
      <c r="A1198" s="224"/>
      <c r="B1198" s="24"/>
      <c r="C1198" s="24"/>
      <c r="D1198" s="24"/>
      <c r="E1198" s="24"/>
      <c r="F1198" s="24"/>
      <c r="G1198" s="24"/>
      <c r="H1198" s="340"/>
      <c r="I1198" s="24"/>
      <c r="J1198" s="24"/>
      <c r="K1198" s="24"/>
      <c r="L1198" s="24"/>
      <c r="M1198" s="24"/>
      <c r="N1198" s="225"/>
    </row>
    <row r="1199" spans="1:56">
      <c r="A1199" s="224"/>
      <c r="B1199" s="24"/>
      <c r="C1199" s="24"/>
      <c r="D1199" s="24"/>
      <c r="E1199" s="24"/>
      <c r="F1199" s="24"/>
      <c r="G1199" s="24"/>
      <c r="H1199" s="340"/>
      <c r="I1199" s="24"/>
      <c r="J1199" s="24"/>
      <c r="K1199" s="24"/>
      <c r="L1199" s="24"/>
      <c r="M1199" s="24"/>
      <c r="N1199" s="225"/>
    </row>
    <row r="1200" spans="1:56">
      <c r="A1200" s="224"/>
      <c r="B1200" s="24"/>
      <c r="C1200" s="24"/>
      <c r="D1200" s="24"/>
      <c r="E1200" s="24"/>
      <c r="F1200" s="24"/>
      <c r="G1200" s="24"/>
      <c r="H1200" s="340"/>
      <c r="I1200" s="24"/>
      <c r="J1200" s="24"/>
      <c r="K1200" s="24"/>
      <c r="L1200" s="24"/>
      <c r="M1200" s="24"/>
      <c r="N1200" s="225"/>
    </row>
    <row r="1201" spans="1:64" ht="13.2" customHeight="1">
      <c r="A1201" s="224"/>
      <c r="B1201" s="24"/>
      <c r="C1201" s="24"/>
      <c r="D1201" s="24"/>
      <c r="E1201" s="24"/>
      <c r="F1201" s="24"/>
      <c r="G1201" s="24"/>
      <c r="H1201" s="340"/>
      <c r="I1201" s="24"/>
      <c r="J1201" s="24"/>
      <c r="K1201" s="24"/>
      <c r="L1201" s="24"/>
      <c r="M1201" s="24"/>
      <c r="N1201" s="225"/>
    </row>
    <row r="1202" spans="1:64">
      <c r="A1202" s="224"/>
      <c r="B1202" s="24"/>
      <c r="C1202" s="24"/>
      <c r="D1202" s="24"/>
      <c r="E1202" s="24"/>
      <c r="F1202" s="24"/>
      <c r="G1202" s="24"/>
      <c r="H1202" s="340"/>
      <c r="I1202" s="24"/>
      <c r="J1202" s="24"/>
      <c r="K1202" s="24"/>
      <c r="L1202" s="24"/>
      <c r="M1202" s="24"/>
      <c r="N1202" s="225"/>
    </row>
    <row r="1203" spans="1:64">
      <c r="A1203" s="224"/>
      <c r="B1203" s="24"/>
      <c r="C1203" s="24"/>
      <c r="D1203" s="24"/>
      <c r="E1203" s="24"/>
      <c r="F1203" s="24"/>
      <c r="G1203" s="24"/>
      <c r="H1203" s="340"/>
      <c r="I1203" s="24"/>
      <c r="J1203" s="24"/>
      <c r="K1203" s="24"/>
      <c r="L1203" s="24"/>
      <c r="M1203" s="24"/>
      <c r="N1203" s="225"/>
    </row>
    <row r="1204" spans="1:64">
      <c r="A1204" s="224"/>
      <c r="B1204" s="24"/>
      <c r="C1204" s="24"/>
      <c r="D1204" s="24"/>
      <c r="E1204" s="24"/>
      <c r="F1204" s="24"/>
      <c r="G1204" s="24"/>
      <c r="H1204" s="340"/>
      <c r="I1204" s="24"/>
      <c r="J1204" s="24"/>
      <c r="K1204" s="24"/>
      <c r="L1204" s="24"/>
      <c r="M1204" s="24"/>
      <c r="N1204" s="225"/>
    </row>
    <row r="1205" spans="1:64">
      <c r="A1205" s="224"/>
      <c r="B1205" s="24"/>
      <c r="C1205" s="24"/>
      <c r="D1205" s="24"/>
      <c r="E1205" s="24"/>
      <c r="F1205" s="24"/>
      <c r="G1205" s="24"/>
      <c r="H1205" s="340"/>
      <c r="I1205" s="24"/>
      <c r="J1205" s="24"/>
      <c r="K1205" s="24"/>
      <c r="L1205" s="24"/>
      <c r="M1205" s="24"/>
      <c r="N1205" s="225"/>
    </row>
    <row r="1206" spans="1:64">
      <c r="A1206" s="224"/>
      <c r="B1206" s="24"/>
      <c r="C1206" s="24"/>
      <c r="D1206" s="24"/>
      <c r="E1206" s="24"/>
      <c r="F1206" s="24"/>
      <c r="G1206" s="24"/>
      <c r="H1206" s="340"/>
      <c r="I1206" s="24"/>
      <c r="J1206" s="24"/>
      <c r="K1206" s="24"/>
      <c r="L1206" s="24"/>
      <c r="M1206" s="24"/>
      <c r="N1206" s="225"/>
    </row>
    <row r="1207" spans="1:64">
      <c r="A1207" s="224"/>
      <c r="B1207" s="24"/>
      <c r="C1207" s="24"/>
      <c r="D1207" s="24"/>
      <c r="E1207" s="24"/>
      <c r="F1207" s="24"/>
      <c r="G1207" s="24"/>
      <c r="H1207" s="340"/>
      <c r="I1207" s="24"/>
      <c r="J1207" s="24"/>
      <c r="K1207" s="24"/>
      <c r="L1207" s="24"/>
      <c r="M1207" s="24"/>
      <c r="N1207" s="225"/>
    </row>
    <row r="1208" spans="1:64" ht="13.95" customHeight="1">
      <c r="A1208" s="224"/>
      <c r="B1208" s="24"/>
      <c r="C1208" s="24"/>
      <c r="D1208" s="24"/>
      <c r="E1208" s="24"/>
      <c r="F1208" s="24"/>
      <c r="G1208" s="24"/>
      <c r="H1208" s="340"/>
      <c r="I1208" s="24"/>
      <c r="J1208" s="24"/>
      <c r="K1208" s="24"/>
      <c r="L1208" s="24"/>
      <c r="M1208" s="24"/>
      <c r="N1208" s="225"/>
    </row>
    <row r="1209" spans="1:64" ht="13.95" customHeight="1">
      <c r="A1209" s="224"/>
      <c r="B1209" s="24"/>
      <c r="C1209" s="24"/>
      <c r="D1209" s="24"/>
      <c r="E1209" s="24"/>
      <c r="F1209" s="24"/>
      <c r="G1209" s="24"/>
      <c r="H1209" s="340"/>
      <c r="I1209" s="24"/>
      <c r="J1209" s="24"/>
      <c r="K1209" s="24"/>
      <c r="L1209" s="24"/>
      <c r="M1209" s="24"/>
      <c r="N1209" s="225"/>
    </row>
    <row r="1210" spans="1:64" ht="13.95" customHeight="1">
      <c r="A1210" s="224"/>
      <c r="B1210" s="24"/>
      <c r="C1210" s="24"/>
      <c r="D1210" s="24"/>
      <c r="E1210" s="24"/>
      <c r="F1210" s="24"/>
      <c r="G1210" s="24"/>
      <c r="H1210" s="340"/>
      <c r="I1210" s="24"/>
      <c r="J1210" s="24"/>
      <c r="K1210" s="24"/>
      <c r="L1210" s="24"/>
      <c r="M1210" s="24"/>
      <c r="N1210" s="225"/>
    </row>
    <row r="1211" spans="1:64" ht="13.95" customHeight="1">
      <c r="A1211" s="224"/>
      <c r="B1211" s="24"/>
      <c r="C1211" s="24"/>
      <c r="D1211" s="24"/>
      <c r="E1211" s="24"/>
      <c r="F1211" s="24"/>
      <c r="G1211" s="24"/>
      <c r="H1211" s="340"/>
      <c r="I1211" s="24"/>
      <c r="J1211" s="24"/>
      <c r="K1211" s="24"/>
      <c r="L1211" s="24"/>
      <c r="M1211" s="24"/>
      <c r="N1211" s="225"/>
    </row>
    <row r="1212" spans="1:64" ht="13.95" customHeight="1">
      <c r="A1212" s="224"/>
      <c r="B1212" s="24"/>
      <c r="C1212" s="24"/>
      <c r="D1212" s="24"/>
      <c r="E1212" s="24"/>
      <c r="F1212" s="24"/>
      <c r="G1212" s="24"/>
      <c r="H1212" s="340"/>
      <c r="I1212" s="24"/>
      <c r="J1212" s="24"/>
      <c r="K1212" s="24"/>
      <c r="L1212" s="24"/>
      <c r="M1212" s="24"/>
      <c r="N1212" s="225"/>
    </row>
    <row r="1213" spans="1:64" ht="13.95" customHeight="1">
      <c r="A1213" s="224"/>
      <c r="B1213" s="24"/>
      <c r="C1213" s="24"/>
      <c r="D1213" s="24"/>
      <c r="E1213" s="24"/>
      <c r="F1213" s="24"/>
      <c r="G1213" s="24"/>
      <c r="H1213" s="340"/>
      <c r="I1213" s="24"/>
      <c r="J1213" s="24"/>
      <c r="K1213" s="24"/>
      <c r="L1213" s="24"/>
      <c r="M1213" s="24"/>
      <c r="N1213" s="225"/>
    </row>
    <row r="1214" spans="1:64" ht="13.95" customHeight="1">
      <c r="A1214" s="224"/>
      <c r="B1214" s="24"/>
      <c r="C1214" s="24"/>
      <c r="D1214" s="24"/>
      <c r="E1214" s="24"/>
      <c r="F1214" s="24"/>
      <c r="G1214" s="24"/>
      <c r="H1214" s="340"/>
      <c r="I1214" s="24"/>
      <c r="J1214" s="24"/>
      <c r="K1214" s="24"/>
      <c r="L1214" s="24"/>
      <c r="M1214" s="24"/>
      <c r="N1214" s="225"/>
    </row>
    <row r="1215" spans="1:64" ht="13.95" customHeight="1">
      <c r="A1215" s="224"/>
      <c r="B1215" s="24"/>
      <c r="C1215" s="24"/>
      <c r="D1215" s="24"/>
      <c r="E1215" s="24"/>
      <c r="F1215" s="24"/>
      <c r="G1215" s="24"/>
      <c r="H1215" s="340"/>
      <c r="I1215" s="24"/>
      <c r="J1215" s="24"/>
      <c r="K1215" s="24"/>
      <c r="L1215" s="24"/>
      <c r="M1215" s="24"/>
      <c r="N1215" s="225"/>
    </row>
    <row r="1216" spans="1:64" ht="13.95" customHeight="1">
      <c r="A1216" s="224"/>
      <c r="B1216" s="932" t="str">
        <f>BE1216</f>
        <v>Generalizing lets us build coalitions, by avoiding messy specifics that could undercut unifying agreement. Coalitions attract support to shape public policy around the issue of IMMIGRATION.</v>
      </c>
      <c r="C1216" s="932"/>
      <c r="D1216" s="932"/>
      <c r="E1216" s="932"/>
      <c r="F1216" s="932" t="str">
        <f>BE1220</f>
        <v>Alienation is the byproduct of our highly individualistic privacy, so we can do our own things without intrusion from others. Privacy lets us set our terms for handling the issue of IMMIGRATION.</v>
      </c>
      <c r="G1216" s="932"/>
      <c r="H1216" s="932"/>
      <c r="I1216" s="932"/>
      <c r="J1216" s="932" t="str">
        <f>BE1224</f>
        <v>Polarization is the common outcome when fighting for our opposing rights, to fight for a piece of the public pie. It tends to bring out more voices affected by the issue of IMMIGRATION.</v>
      </c>
      <c r="K1216" s="932"/>
      <c r="L1216" s="932"/>
      <c r="M1216" s="932"/>
      <c r="N1216" s="225"/>
      <c r="BE1216" s="2" t="str">
        <f>CONCATENATE(BG1216,BH1216,BI1216)</f>
        <v>Generalizing lets us build coalitions, by avoiding messy specifics that could undercut unifying agreement. Coalitions attract support to shape public policy around the issue of IMMIGRATION.</v>
      </c>
      <c r="BG1216" s="2" t="s">
        <v>765</v>
      </c>
      <c r="BH1216" s="2" t="str">
        <f>IF(B1233="","each issue",BJ1216)</f>
        <v>the issue of IMMIGRATION</v>
      </c>
      <c r="BI1216" s="2" t="s">
        <v>706</v>
      </c>
      <c r="BJ1216" s="2" t="str">
        <f>CONCATENATE(BK1216,BL1216)</f>
        <v>the issue of IMMIGRATION</v>
      </c>
      <c r="BK1216" s="2" t="s">
        <v>772</v>
      </c>
      <c r="BL1216" s="2" t="str">
        <f>B1233</f>
        <v>IMMIGRATION</v>
      </c>
    </row>
    <row r="1217" spans="1:64" ht="13.95" customHeight="1">
      <c r="A1217" s="224"/>
      <c r="B1217" s="932"/>
      <c r="C1217" s="932"/>
      <c r="D1217" s="932"/>
      <c r="E1217" s="932"/>
      <c r="F1217" s="932"/>
      <c r="G1217" s="932"/>
      <c r="H1217" s="932"/>
      <c r="I1217" s="932"/>
      <c r="J1217" s="932"/>
      <c r="K1217" s="932"/>
      <c r="L1217" s="932"/>
      <c r="M1217" s="932"/>
      <c r="N1217" s="225"/>
      <c r="BE1217" s="2" t="str">
        <f>CONCATENATE(BG1217,BH1217)</f>
        <v>But generalizations gloss over the specifics necessary to fully resolve underlying needs, which would then remove the pain. The more you generalize, the more you feel the need to generalize, slipping into a vicious cycle.</v>
      </c>
      <c r="BG1217" s="2" t="s">
        <v>766</v>
      </c>
      <c r="BH1217" s="146" t="s">
        <v>767</v>
      </c>
    </row>
    <row r="1218" spans="1:64" ht="13.95" customHeight="1">
      <c r="A1218" s="224"/>
      <c r="B1218" s="932"/>
      <c r="C1218" s="932"/>
      <c r="D1218" s="932"/>
      <c r="E1218" s="932"/>
      <c r="F1218" s="932"/>
      <c r="G1218" s="932"/>
      <c r="H1218" s="932"/>
      <c r="I1218" s="932"/>
      <c r="J1218" s="932"/>
      <c r="K1218" s="932"/>
      <c r="L1218" s="932"/>
      <c r="M1218" s="932"/>
      <c r="N1218" s="225"/>
    </row>
    <row r="1219" spans="1:64" ht="13.95" customHeight="1">
      <c r="A1219" s="224"/>
      <c r="B1219" s="932"/>
      <c r="C1219" s="932"/>
      <c r="D1219" s="932"/>
      <c r="E1219" s="932"/>
      <c r="F1219" s="932"/>
      <c r="G1219" s="932"/>
      <c r="H1219" s="932"/>
      <c r="I1219" s="932"/>
      <c r="J1219" s="932"/>
      <c r="K1219" s="932"/>
      <c r="L1219" s="932"/>
      <c r="M1219" s="932"/>
      <c r="N1219" s="225"/>
    </row>
    <row r="1220" spans="1:64" ht="13.95" customHeight="1">
      <c r="A1220" s="224"/>
      <c r="B1220" s="932"/>
      <c r="C1220" s="932"/>
      <c r="D1220" s="932"/>
      <c r="E1220" s="932"/>
      <c r="F1220" s="932"/>
      <c r="G1220" s="932"/>
      <c r="H1220" s="932"/>
      <c r="I1220" s="932"/>
      <c r="J1220" s="932"/>
      <c r="K1220" s="932"/>
      <c r="L1220" s="932"/>
      <c r="M1220" s="932"/>
      <c r="N1220" s="225"/>
      <c r="BE1220" s="2" t="str">
        <f>CONCATENATE(BG1220,BH1220,BI1220)</f>
        <v>Alienation is the byproduct of our highly individualistic privacy, so we can do our own things without intrusion from others. Privacy lets us set our terms for handling the issue of IMMIGRATION.</v>
      </c>
      <c r="BG1220" s="2" t="s">
        <v>1231</v>
      </c>
      <c r="BH1220" s="2" t="str">
        <f>BH1216</f>
        <v>the issue of IMMIGRATION</v>
      </c>
      <c r="BI1220" s="2" t="s">
        <v>706</v>
      </c>
      <c r="BJ1220" s="2" t="str">
        <f>CONCATENATE(BK1220,BL1220)</f>
        <v>the issue of IMMIGRATION</v>
      </c>
      <c r="BK1220" s="2" t="s">
        <v>772</v>
      </c>
      <c r="BL1220" s="2" t="str">
        <f>B1233</f>
        <v>IMMIGRATION</v>
      </c>
    </row>
    <row r="1221" spans="1:64" ht="13.95" customHeight="1">
      <c r="A1221" s="224"/>
      <c r="B1221" s="932"/>
      <c r="C1221" s="932"/>
      <c r="D1221" s="932"/>
      <c r="E1221" s="932"/>
      <c r="F1221" s="932"/>
      <c r="G1221" s="932"/>
      <c r="H1221" s="932"/>
      <c r="I1221" s="932"/>
      <c r="J1221" s="932"/>
      <c r="K1221" s="932"/>
      <c r="L1221" s="932"/>
      <c r="M1221" s="932"/>
      <c r="N1221" s="225"/>
      <c r="BE1221" s="2" t="str">
        <f>CONCATENATE(BG1221,BH1221)</f>
        <v xml:space="preserve">But alienation traps us into relying on impersonal laws to redress one another's affected needs. The more you remain alienated from others, the less you can resolve needs affecting each other, trapping you into a vicious cycle. </v>
      </c>
      <c r="BG1221" s="2" t="s">
        <v>768</v>
      </c>
      <c r="BH1221" s="146" t="s">
        <v>769</v>
      </c>
    </row>
    <row r="1222" spans="1:64" ht="13.95" customHeight="1">
      <c r="A1222" s="224"/>
      <c r="B1222" s="932" t="str">
        <f>BE1217</f>
        <v>But generalizations gloss over the specifics necessary to fully resolve underlying needs, which would then remove the pain. The more you generalize, the more you feel the need to generalize, slipping into a vicious cycle.</v>
      </c>
      <c r="C1222" s="932"/>
      <c r="D1222" s="932"/>
      <c r="E1222" s="932"/>
      <c r="F1222" s="932" t="str">
        <f>BE1221</f>
        <v xml:space="preserve">But alienation traps us into relying on impersonal laws to redress one another's affected needs. The more you remain alienated from others, the less you can resolve needs affecting each other, trapping you into a vicious cycle. </v>
      </c>
      <c r="G1222" s="932"/>
      <c r="H1222" s="932"/>
      <c r="I1222" s="932"/>
      <c r="J1222" s="932" t="str">
        <f>BE1225</f>
        <v xml:space="preserve">But polarization easily sinks into mutual defensiveness that shuts down meaningful resolution of each other's affected needs. The more at odds with each other, the longer it can take to resolve needs, leaving you stuck in a vicious cycle. </v>
      </c>
      <c r="K1222" s="932"/>
      <c r="L1222" s="932"/>
      <c r="M1222" s="932"/>
      <c r="N1222" s="225"/>
    </row>
    <row r="1223" spans="1:64" ht="13.95" customHeight="1">
      <c r="A1223" s="224"/>
      <c r="B1223" s="932"/>
      <c r="C1223" s="932"/>
      <c r="D1223" s="932"/>
      <c r="E1223" s="932"/>
      <c r="F1223" s="932"/>
      <c r="G1223" s="932"/>
      <c r="H1223" s="932"/>
      <c r="I1223" s="932"/>
      <c r="J1223" s="932"/>
      <c r="K1223" s="932"/>
      <c r="L1223" s="932"/>
      <c r="M1223" s="932"/>
      <c r="N1223" s="225"/>
    </row>
    <row r="1224" spans="1:64" ht="13.95" customHeight="1">
      <c r="A1224" s="224"/>
      <c r="B1224" s="932"/>
      <c r="C1224" s="932"/>
      <c r="D1224" s="932"/>
      <c r="E1224" s="932"/>
      <c r="F1224" s="932"/>
      <c r="G1224" s="932"/>
      <c r="H1224" s="932"/>
      <c r="I1224" s="932"/>
      <c r="J1224" s="932"/>
      <c r="K1224" s="932"/>
      <c r="L1224" s="932"/>
      <c r="M1224" s="932"/>
      <c r="N1224" s="225"/>
      <c r="BE1224" s="2" t="str">
        <f>CONCATENATE(BG1224,BH1224,BI1224)</f>
        <v>Polarization is the common outcome when fighting for our opposing rights, to fight for a piece of the public pie. It tends to bring out more voices affected by the issue of IMMIGRATION.</v>
      </c>
      <c r="BG1224" s="2" t="s">
        <v>1232</v>
      </c>
      <c r="BH1224" s="2" t="str">
        <f>BH1220</f>
        <v>the issue of IMMIGRATION</v>
      </c>
      <c r="BI1224" s="2" t="s">
        <v>706</v>
      </c>
      <c r="BJ1224" s="2" t="str">
        <f>CONCATENATE(BK1224,BL1224)</f>
        <v>the issue of IMMIGRATION</v>
      </c>
      <c r="BK1224" s="2" t="s">
        <v>772</v>
      </c>
      <c r="BL1224" s="2" t="str">
        <f>B1233</f>
        <v>IMMIGRATION</v>
      </c>
    </row>
    <row r="1225" spans="1:64" ht="13.95" customHeight="1">
      <c r="A1225" s="224"/>
      <c r="B1225" s="932"/>
      <c r="C1225" s="932"/>
      <c r="D1225" s="932"/>
      <c r="E1225" s="932"/>
      <c r="F1225" s="932"/>
      <c r="G1225" s="932"/>
      <c r="H1225" s="932"/>
      <c r="I1225" s="932"/>
      <c r="J1225" s="932"/>
      <c r="K1225" s="932"/>
      <c r="L1225" s="932"/>
      <c r="M1225" s="932"/>
      <c r="N1225" s="225"/>
      <c r="BE1225" s="2" t="str">
        <f>CONCATENATE(BG1225,BH1225)</f>
        <v xml:space="preserve">But polarization easily sinks into mutual defensiveness that shuts down meaningful resolution of each other's affected needs. The more at odds with each other, the longer it can take to resolve needs, leaving you stuck in a vicious cycle. </v>
      </c>
      <c r="BG1225" s="2" t="s">
        <v>770</v>
      </c>
      <c r="BH1225" s="146" t="s">
        <v>771</v>
      </c>
    </row>
    <row r="1226" spans="1:64" ht="13.95" customHeight="1">
      <c r="A1226" s="224"/>
      <c r="B1226" s="932"/>
      <c r="C1226" s="932"/>
      <c r="D1226" s="932"/>
      <c r="E1226" s="932"/>
      <c r="F1226" s="932"/>
      <c r="G1226" s="932"/>
      <c r="H1226" s="932"/>
      <c r="I1226" s="932"/>
      <c r="J1226" s="932"/>
      <c r="K1226" s="932"/>
      <c r="L1226" s="932"/>
      <c r="M1226" s="932"/>
      <c r="N1226" s="225"/>
    </row>
    <row r="1227" spans="1:64" ht="13.95" customHeight="1">
      <c r="A1227" s="224"/>
      <c r="B1227" s="932"/>
      <c r="C1227" s="932"/>
      <c r="D1227" s="932"/>
      <c r="E1227" s="932"/>
      <c r="F1227" s="932"/>
      <c r="G1227" s="932"/>
      <c r="H1227" s="932"/>
      <c r="I1227" s="932"/>
      <c r="J1227" s="932"/>
      <c r="K1227" s="932"/>
      <c r="L1227" s="932"/>
      <c r="M1227" s="932"/>
      <c r="N1227" s="225"/>
    </row>
    <row r="1228" spans="1:64" ht="13.95" customHeight="1">
      <c r="A1228" s="224"/>
      <c r="B1228" s="932"/>
      <c r="C1228" s="932"/>
      <c r="D1228" s="932"/>
      <c r="E1228" s="932"/>
      <c r="F1228" s="932"/>
      <c r="G1228" s="932"/>
      <c r="H1228" s="932"/>
      <c r="I1228" s="932"/>
      <c r="J1228" s="932"/>
      <c r="K1228" s="932"/>
      <c r="L1228" s="932"/>
      <c r="M1228" s="932"/>
      <c r="N1228" s="225"/>
    </row>
    <row r="1229" spans="1:64">
      <c r="A1229" s="224"/>
      <c r="B1229" s="932"/>
      <c r="C1229" s="932"/>
      <c r="D1229" s="932"/>
      <c r="E1229" s="932"/>
      <c r="F1229" s="932"/>
      <c r="G1229" s="932"/>
      <c r="H1229" s="932"/>
      <c r="I1229" s="932"/>
      <c r="J1229" s="932"/>
      <c r="K1229" s="932"/>
      <c r="L1229" s="932"/>
      <c r="M1229" s="932"/>
      <c r="N1229" s="225"/>
    </row>
    <row r="1230" spans="1:64" ht="14.4" customHeight="1">
      <c r="A1230" s="224"/>
      <c r="B1230" s="932" t="s">
        <v>947</v>
      </c>
      <c r="C1230" s="932"/>
      <c r="D1230" s="932"/>
      <c r="E1230" s="932"/>
      <c r="F1230" s="932"/>
      <c r="G1230" s="932"/>
      <c r="H1230" s="932"/>
      <c r="I1230" s="932"/>
      <c r="J1230" s="932"/>
      <c r="K1230" s="932"/>
      <c r="L1230" s="932"/>
      <c r="M1230" s="932"/>
      <c r="N1230" s="225"/>
    </row>
    <row r="1231" spans="1:64" ht="13.95" customHeight="1">
      <c r="A1231" s="224"/>
      <c r="B1231" s="932"/>
      <c r="C1231" s="932"/>
      <c r="D1231" s="932"/>
      <c r="E1231" s="932"/>
      <c r="F1231" s="932"/>
      <c r="G1231" s="932"/>
      <c r="H1231" s="932"/>
      <c r="I1231" s="932"/>
      <c r="J1231" s="932"/>
      <c r="K1231" s="932"/>
      <c r="L1231" s="932"/>
      <c r="M1231" s="932"/>
      <c r="N1231" s="225"/>
    </row>
    <row r="1232" spans="1:64" ht="14.4" customHeight="1" thickBot="1">
      <c r="A1232" s="224"/>
      <c r="B1232" s="24"/>
      <c r="C1232" s="24"/>
      <c r="D1232" s="24"/>
      <c r="E1232" s="24"/>
      <c r="F1232" s="24"/>
      <c r="G1232" s="24"/>
      <c r="H1232" s="340"/>
      <c r="I1232" s="24"/>
      <c r="J1232" s="24"/>
      <c r="K1232" s="24"/>
      <c r="L1232" s="24"/>
      <c r="M1232" s="24"/>
      <c r="N1232" s="225"/>
    </row>
    <row r="1233" spans="1:65" ht="14.4" customHeight="1" thickTop="1">
      <c r="A1233" s="224"/>
      <c r="B1233" s="1052" t="str">
        <f>C1047</f>
        <v>IMMIGRATION</v>
      </c>
      <c r="C1233" s="1053"/>
      <c r="D1233" s="1053"/>
      <c r="E1233" s="1053"/>
      <c r="F1233" s="1053"/>
      <c r="G1233" s="1053"/>
      <c r="H1233" s="1053"/>
      <c r="I1233" s="1053"/>
      <c r="J1233" s="1053"/>
      <c r="K1233" s="1053"/>
      <c r="L1233" s="1053"/>
      <c r="M1233" s="1054"/>
      <c r="N1233" s="225"/>
    </row>
    <row r="1234" spans="1:65" ht="13.95" customHeight="1">
      <c r="A1234" s="224"/>
      <c r="B1234" s="1055"/>
      <c r="C1234" s="1056"/>
      <c r="D1234" s="1056"/>
      <c r="E1234" s="1056"/>
      <c r="F1234" s="1056"/>
      <c r="G1234" s="1056"/>
      <c r="H1234" s="1056"/>
      <c r="I1234" s="1056"/>
      <c r="J1234" s="1056"/>
      <c r="K1234" s="1056"/>
      <c r="L1234" s="1056"/>
      <c r="M1234" s="1057"/>
      <c r="N1234" s="225"/>
    </row>
    <row r="1235" spans="1:65" ht="14.4" customHeight="1" thickBot="1">
      <c r="A1235" s="224"/>
      <c r="B1235" s="1058"/>
      <c r="C1235" s="1059"/>
      <c r="D1235" s="1059"/>
      <c r="E1235" s="1059"/>
      <c r="F1235" s="1059"/>
      <c r="G1235" s="1059"/>
      <c r="H1235" s="1059"/>
      <c r="I1235" s="1059"/>
      <c r="J1235" s="1059"/>
      <c r="K1235" s="1059"/>
      <c r="L1235" s="1059"/>
      <c r="M1235" s="1060"/>
      <c r="N1235" s="225"/>
    </row>
    <row r="1236" spans="1:65" ht="14.4" thickTop="1">
      <c r="A1236" s="224"/>
      <c r="B1236" s="24"/>
      <c r="C1236" s="24"/>
      <c r="D1236" s="24"/>
      <c r="E1236" s="24"/>
      <c r="F1236" s="24"/>
      <c r="G1236" s="24"/>
      <c r="H1236" s="340"/>
      <c r="I1236" s="24"/>
      <c r="J1236" s="24"/>
      <c r="K1236" s="24"/>
      <c r="L1236" s="24"/>
      <c r="M1236" s="24"/>
      <c r="N1236" s="225"/>
    </row>
    <row r="1237" spans="1:65">
      <c r="A1237" s="226"/>
      <c r="B1237" s="231"/>
      <c r="C1237" s="231"/>
      <c r="D1237" s="231"/>
      <c r="E1237" s="231"/>
      <c r="F1237" s="231"/>
      <c r="G1237" s="231"/>
      <c r="H1237" s="342"/>
      <c r="I1237" s="231"/>
      <c r="J1237" s="231"/>
      <c r="K1237" s="231"/>
      <c r="L1237" s="231"/>
      <c r="M1237" s="231"/>
      <c r="N1237" s="228"/>
    </row>
    <row r="1238" spans="1:65" ht="30" customHeight="1">
      <c r="A1238" s="220" t="s">
        <v>1148</v>
      </c>
      <c r="B1238" s="916" t="s">
        <v>774</v>
      </c>
      <c r="C1238" s="916"/>
      <c r="D1238" s="916"/>
      <c r="E1238" s="916"/>
      <c r="F1238" s="916"/>
      <c r="G1238" s="916"/>
      <c r="H1238" s="916"/>
      <c r="I1238" s="916"/>
      <c r="J1238" s="916"/>
      <c r="K1238" s="221"/>
      <c r="L1238" s="221"/>
      <c r="M1238" s="222"/>
      <c r="N1238" s="223" t="s">
        <v>1149</v>
      </c>
    </row>
    <row r="1239" spans="1:65">
      <c r="A1239" s="224"/>
      <c r="B1239" s="24"/>
      <c r="C1239" s="24"/>
      <c r="D1239" s="24"/>
      <c r="E1239" s="24"/>
      <c r="F1239" s="24"/>
      <c r="G1239" s="24"/>
      <c r="H1239" s="340"/>
      <c r="I1239" s="24"/>
      <c r="J1239" s="24"/>
      <c r="K1239" s="24"/>
      <c r="L1239" s="24"/>
      <c r="M1239" s="24"/>
      <c r="N1239" s="225"/>
    </row>
    <row r="1240" spans="1:65">
      <c r="A1240" s="224"/>
      <c r="B1240" s="24"/>
      <c r="C1240" s="24"/>
      <c r="D1240" s="24"/>
      <c r="E1240" s="24"/>
      <c r="F1240" s="24"/>
      <c r="G1240" s="24"/>
      <c r="H1240" s="340"/>
      <c r="I1240" s="24"/>
      <c r="J1240" s="24"/>
      <c r="K1240" s="24"/>
      <c r="L1240" s="24"/>
      <c r="M1240" s="24"/>
      <c r="N1240" s="225"/>
    </row>
    <row r="1241" spans="1:65">
      <c r="A1241" s="224"/>
      <c r="B1241" s="24"/>
      <c r="C1241" s="24"/>
      <c r="D1241" s="24"/>
      <c r="E1241" s="24"/>
      <c r="F1241" s="24"/>
      <c r="G1241" s="24"/>
      <c r="H1241" s="340"/>
      <c r="I1241" s="24"/>
      <c r="J1241" s="24"/>
      <c r="K1241" s="24"/>
      <c r="L1241" s="24"/>
      <c r="M1241" s="24"/>
      <c r="N1241" s="225"/>
    </row>
    <row r="1242" spans="1:65">
      <c r="A1242" s="224"/>
      <c r="B1242" s="24"/>
      <c r="C1242" s="24"/>
      <c r="D1242" s="24"/>
      <c r="E1242" s="24"/>
      <c r="F1242" s="24"/>
      <c r="G1242" s="24"/>
      <c r="H1242" s="356" t="s">
        <v>764</v>
      </c>
      <c r="I1242" s="24"/>
      <c r="J1242" s="24"/>
      <c r="K1242" s="24"/>
      <c r="L1242" s="24"/>
      <c r="M1242" s="24"/>
      <c r="N1242" s="225"/>
    </row>
    <row r="1243" spans="1:65">
      <c r="A1243" s="224"/>
      <c r="B1243" s="24"/>
      <c r="C1243" s="24"/>
      <c r="D1243" s="24"/>
      <c r="E1243" s="24"/>
      <c r="F1243" s="24"/>
      <c r="G1243" s="24"/>
      <c r="H1243" s="340"/>
      <c r="I1243" s="24"/>
      <c r="J1243" s="24"/>
      <c r="K1243" s="24"/>
      <c r="L1243" s="24"/>
      <c r="M1243" s="24"/>
      <c r="N1243" s="225"/>
    </row>
    <row r="1244" spans="1:65" ht="13.95" customHeight="1">
      <c r="A1244" s="224"/>
      <c r="B1244" s="24"/>
      <c r="C1244" s="24"/>
      <c r="D1244" s="24"/>
      <c r="E1244" s="24"/>
      <c r="F1244" s="24"/>
      <c r="G1244" s="24"/>
      <c r="H1244" s="357">
        <v>1</v>
      </c>
      <c r="I1244" s="932" t="str">
        <f>IF(B$1233="",BM1244,BE1244)</f>
        <v>The more you generalize for relief with IMMIGRATION politics, the less responsive you are to specific needs affected by IMMIGRATION.</v>
      </c>
      <c r="J1244" s="932"/>
      <c r="K1244" s="932"/>
      <c r="L1244" s="932"/>
      <c r="M1244" s="932"/>
      <c r="N1244" s="225"/>
      <c r="BD1244" s="2">
        <v>1</v>
      </c>
      <c r="BE1244" s="37" t="str">
        <f>CONCATENATE(BG1244,BH1244,BI1244,BJ1244,".")</f>
        <v>The more you generalize for relief with IMMIGRATION politics, the less responsive you are to specific needs affected by IMMIGRATION.</v>
      </c>
      <c r="BF1244" s="47" t="s">
        <v>3</v>
      </c>
      <c r="BG1244" s="2" t="s">
        <v>738</v>
      </c>
      <c r="BH1244" s="2" t="str">
        <f>IF(OR($B$1233=0,$B$1233=""),"divisive",$B$1233)</f>
        <v>IMMIGRATION</v>
      </c>
      <c r="BI1244" s="2" t="s">
        <v>739</v>
      </c>
      <c r="BJ1244" s="2" t="str">
        <f>IF(OR($B$1233=0,$B$1233=""),"politics",$B$1233)</f>
        <v>IMMIGRATION</v>
      </c>
      <c r="BM1244" s="2" t="s">
        <v>727</v>
      </c>
    </row>
    <row r="1245" spans="1:65">
      <c r="A1245" s="224"/>
      <c r="B1245" s="24"/>
      <c r="C1245" s="24"/>
      <c r="D1245" s="24"/>
      <c r="E1245" s="24"/>
      <c r="F1245" s="24"/>
      <c r="G1245" s="24"/>
      <c r="H1245" s="340"/>
      <c r="I1245" s="932"/>
      <c r="J1245" s="932"/>
      <c r="K1245" s="932"/>
      <c r="L1245" s="932"/>
      <c r="M1245" s="932"/>
      <c r="N1245" s="225"/>
    </row>
    <row r="1246" spans="1:65">
      <c r="A1246" s="224"/>
      <c r="B1246" s="24"/>
      <c r="C1246" s="24"/>
      <c r="D1246" s="24"/>
      <c r="E1246" s="24"/>
      <c r="F1246" s="24"/>
      <c r="G1246" s="24"/>
      <c r="H1246" s="340"/>
      <c r="I1246" s="932"/>
      <c r="J1246" s="932"/>
      <c r="K1246" s="932"/>
      <c r="L1246" s="932"/>
      <c r="M1246" s="932"/>
      <c r="N1246" s="225"/>
    </row>
    <row r="1247" spans="1:65" ht="13.95" customHeight="1">
      <c r="A1247" s="224"/>
      <c r="B1247" s="24"/>
      <c r="C1247" s="24"/>
      <c r="D1247" s="24"/>
      <c r="E1247" s="24"/>
      <c r="F1247" s="24"/>
      <c r="G1247" s="24"/>
      <c r="H1247" s="340"/>
      <c r="I1247" s="932"/>
      <c r="J1247" s="932"/>
      <c r="K1247" s="932"/>
      <c r="L1247" s="932"/>
      <c r="M1247" s="932"/>
      <c r="N1247" s="225"/>
    </row>
    <row r="1248" spans="1:65" ht="13.95" customHeight="1">
      <c r="A1248" s="224"/>
      <c r="B1248" s="24"/>
      <c r="C1248" s="24"/>
      <c r="D1248" s="24"/>
      <c r="E1248" s="24"/>
      <c r="F1248" s="24"/>
      <c r="G1248" s="24"/>
      <c r="H1248" s="357">
        <v>2</v>
      </c>
      <c r="I1248" s="932" t="str">
        <f>IF(B$1233="",BM1248,BE1248)</f>
        <v>The less responsive to specific needs affected by IMMIGRATION, the fewer of your IMMIGRATION affected needs fully resolve.</v>
      </c>
      <c r="J1248" s="932"/>
      <c r="K1248" s="932"/>
      <c r="L1248" s="932"/>
      <c r="M1248" s="932"/>
      <c r="N1248" s="225"/>
      <c r="BD1248" s="2">
        <v>2</v>
      </c>
      <c r="BE1248" s="37" t="str">
        <f>CONCATENATE(BG1248,BH1248,BI1248,BJ1248,BK1248,".")</f>
        <v>The less responsive to specific needs affected by IMMIGRATION, the fewer of your IMMIGRATION affected needs fully resolve.</v>
      </c>
      <c r="BF1248" s="47" t="s">
        <v>3</v>
      </c>
      <c r="BG1248" s="2" t="s">
        <v>728</v>
      </c>
      <c r="BH1248" s="2" t="str">
        <f>BJ1244</f>
        <v>IMMIGRATION</v>
      </c>
      <c r="BI1248" s="2" t="s">
        <v>729</v>
      </c>
      <c r="BJ1248" s="2" t="str">
        <f>IF(OR($B$1233=0,$B$1233=""),"politically",$B$1233)</f>
        <v>IMMIGRATION</v>
      </c>
      <c r="BK1248" s="2" t="s">
        <v>730</v>
      </c>
      <c r="BM1248" s="2" t="s">
        <v>731</v>
      </c>
    </row>
    <row r="1249" spans="1:65">
      <c r="A1249" s="224"/>
      <c r="B1249" s="24"/>
      <c r="C1249" s="24"/>
      <c r="D1249" s="24"/>
      <c r="E1249" s="24"/>
      <c r="F1249" s="24"/>
      <c r="G1249" s="24"/>
      <c r="H1249" s="358"/>
      <c r="I1249" s="932"/>
      <c r="J1249" s="932"/>
      <c r="K1249" s="932"/>
      <c r="L1249" s="932"/>
      <c r="M1249" s="932"/>
      <c r="N1249" s="225"/>
    </row>
    <row r="1250" spans="1:65">
      <c r="A1250" s="224"/>
      <c r="B1250" s="24"/>
      <c r="C1250" s="24"/>
      <c r="D1250" s="24"/>
      <c r="E1250" s="24"/>
      <c r="F1250" s="24"/>
      <c r="G1250" s="24"/>
      <c r="H1250" s="357"/>
      <c r="I1250" s="932"/>
      <c r="J1250" s="932"/>
      <c r="K1250" s="932"/>
      <c r="L1250" s="932"/>
      <c r="M1250" s="932"/>
      <c r="N1250" s="225"/>
    </row>
    <row r="1251" spans="1:65" ht="13.95" customHeight="1">
      <c r="A1251" s="224"/>
      <c r="B1251" s="24"/>
      <c r="C1251" s="24"/>
      <c r="D1251" s="24"/>
      <c r="E1251" s="24"/>
      <c r="F1251" s="24"/>
      <c r="G1251" s="24"/>
      <c r="H1251" s="358"/>
      <c r="I1251" s="932"/>
      <c r="J1251" s="932"/>
      <c r="K1251" s="932"/>
      <c r="L1251" s="932"/>
      <c r="M1251" s="932"/>
      <c r="N1251" s="225"/>
    </row>
    <row r="1252" spans="1:65" ht="13.95" customHeight="1">
      <c r="A1252" s="224"/>
      <c r="B1252" s="24"/>
      <c r="C1252" s="24"/>
      <c r="D1252" s="24"/>
      <c r="E1252" s="24"/>
      <c r="F1252" s="24"/>
      <c r="G1252" s="24"/>
      <c r="H1252" s="357">
        <v>3</v>
      </c>
      <c r="I1252" s="932" t="str">
        <f>IF(B$1233="",BM1252,BE1252)</f>
        <v>The fewer of your IMMIGRATION affected needs fully resolve, the more pain around the IMMIGRATION issue you naturally suffer.</v>
      </c>
      <c r="J1252" s="932"/>
      <c r="K1252" s="932"/>
      <c r="L1252" s="932"/>
      <c r="M1252" s="932"/>
      <c r="N1252" s="225"/>
      <c r="BD1252" s="2">
        <v>3</v>
      </c>
      <c r="BE1252" s="37" t="str">
        <f>CONCATENATE(BG1252,BH1252,BI1252,BJ1252,BK1252,".")</f>
        <v>The fewer of your IMMIGRATION affected needs fully resolve, the more pain around the IMMIGRATION issue you naturally suffer.</v>
      </c>
      <c r="BF1252" s="47" t="s">
        <v>3</v>
      </c>
      <c r="BG1252" s="2" t="s">
        <v>732</v>
      </c>
      <c r="BH1252" s="2" t="str">
        <f>BJ1248</f>
        <v>IMMIGRATION</v>
      </c>
      <c r="BI1252" s="2" t="s">
        <v>743</v>
      </c>
      <c r="BJ1252" s="2" t="str">
        <f>IF(OR($B$1233=0,$B$1233=""),"politicized",$B$1233)</f>
        <v>IMMIGRATION</v>
      </c>
      <c r="BK1252" s="2" t="s">
        <v>733</v>
      </c>
      <c r="BM1252" s="2" t="s">
        <v>735</v>
      </c>
    </row>
    <row r="1253" spans="1:65">
      <c r="A1253" s="224"/>
      <c r="B1253" s="24"/>
      <c r="C1253" s="24"/>
      <c r="D1253" s="24"/>
      <c r="E1253" s="24"/>
      <c r="F1253" s="24"/>
      <c r="G1253" s="24"/>
      <c r="H1253" s="358"/>
      <c r="I1253" s="932"/>
      <c r="J1253" s="932"/>
      <c r="K1253" s="932"/>
      <c r="L1253" s="932"/>
      <c r="M1253" s="932"/>
      <c r="N1253" s="225"/>
    </row>
    <row r="1254" spans="1:65">
      <c r="A1254" s="224"/>
      <c r="B1254" s="24"/>
      <c r="C1254" s="24"/>
      <c r="D1254" s="24"/>
      <c r="E1254" s="24"/>
      <c r="F1254" s="24"/>
      <c r="G1254" s="24"/>
      <c r="H1254" s="357"/>
      <c r="I1254" s="932"/>
      <c r="J1254" s="932"/>
      <c r="K1254" s="932"/>
      <c r="L1254" s="932"/>
      <c r="M1254" s="932"/>
      <c r="N1254" s="225"/>
    </row>
    <row r="1255" spans="1:65" ht="13.95" customHeight="1">
      <c r="A1255" s="224"/>
      <c r="B1255" s="24"/>
      <c r="C1255" s="24"/>
      <c r="D1255" s="24"/>
      <c r="E1255" s="24"/>
      <c r="F1255" s="24"/>
      <c r="G1255" s="24"/>
      <c r="H1255" s="358"/>
      <c r="I1255" s="932"/>
      <c r="J1255" s="932"/>
      <c r="K1255" s="932"/>
      <c r="L1255" s="932"/>
      <c r="M1255" s="932"/>
      <c r="N1255" s="225"/>
    </row>
    <row r="1256" spans="1:65" ht="13.95" customHeight="1">
      <c r="A1256" s="224"/>
      <c r="B1256" s="24"/>
      <c r="C1256" s="24"/>
      <c r="D1256" s="24"/>
      <c r="E1256" s="24"/>
      <c r="F1256" s="24"/>
      <c r="G1256" s="24"/>
      <c r="H1256" s="357">
        <v>4</v>
      </c>
      <c r="I1256" s="932" t="str">
        <f>IF(B$1233="",BM1256,BE1256)</f>
        <v>The more pain from unmet IMMIGRATION needs, the more you generalize for relief with specifics-avoidant IMMIGRATION politics.</v>
      </c>
      <c r="J1256" s="932"/>
      <c r="K1256" s="932"/>
      <c r="L1256" s="932"/>
      <c r="M1256" s="932"/>
      <c r="N1256" s="225"/>
      <c r="BD1256" s="2">
        <v>4</v>
      </c>
      <c r="BE1256" s="37" t="str">
        <f>CONCATENATE(BG1256,BH1256,BI1256,BJ1256,BK1256,".")</f>
        <v>The more pain from unmet IMMIGRATION needs, the more you generalize for relief with specifics-avoidant IMMIGRATION politics.</v>
      </c>
      <c r="BF1256" s="47" t="s">
        <v>3</v>
      </c>
      <c r="BG1256" s="2" t="s">
        <v>741</v>
      </c>
      <c r="BH1256" s="2" t="str">
        <f>BJ1252</f>
        <v>IMMIGRATION</v>
      </c>
      <c r="BI1256" s="2" t="s">
        <v>742</v>
      </c>
      <c r="BJ1256" s="2" t="str">
        <f>BH1244</f>
        <v>IMMIGRATION</v>
      </c>
      <c r="BK1256" s="2" t="s">
        <v>740</v>
      </c>
      <c r="BM1256" s="2" t="s">
        <v>736</v>
      </c>
    </row>
    <row r="1257" spans="1:65">
      <c r="A1257" s="224"/>
      <c r="B1257" s="24"/>
      <c r="C1257" s="24"/>
      <c r="D1257" s="24"/>
      <c r="E1257" s="24"/>
      <c r="F1257" s="24"/>
      <c r="G1257" s="24"/>
      <c r="H1257" s="358"/>
      <c r="I1257" s="932"/>
      <c r="J1257" s="932"/>
      <c r="K1257" s="932"/>
      <c r="L1257" s="932"/>
      <c r="M1257" s="932"/>
      <c r="N1257" s="225"/>
    </row>
    <row r="1258" spans="1:65">
      <c r="A1258" s="224"/>
      <c r="B1258" s="24"/>
      <c r="C1258" s="24"/>
      <c r="D1258" s="24"/>
      <c r="E1258" s="24"/>
      <c r="F1258" s="24"/>
      <c r="G1258" s="24"/>
      <c r="H1258" s="357"/>
      <c r="I1258" s="932"/>
      <c r="J1258" s="932"/>
      <c r="K1258" s="932"/>
      <c r="L1258" s="932"/>
      <c r="M1258" s="932"/>
      <c r="N1258" s="225"/>
    </row>
    <row r="1259" spans="1:65" ht="13.95" customHeight="1">
      <c r="A1259" s="224"/>
      <c r="B1259" s="24"/>
      <c r="C1259" s="24"/>
      <c r="D1259" s="24"/>
      <c r="E1259" s="24"/>
      <c r="F1259" s="24"/>
      <c r="G1259" s="24"/>
      <c r="H1259" s="358"/>
      <c r="I1259" s="932"/>
      <c r="J1259" s="932"/>
      <c r="K1259" s="932"/>
      <c r="L1259" s="932"/>
      <c r="M1259" s="932"/>
      <c r="N1259" s="225"/>
    </row>
    <row r="1260" spans="1:65">
      <c r="A1260" s="224"/>
      <c r="B1260" s="24"/>
      <c r="C1260" s="24"/>
      <c r="D1260" s="24"/>
      <c r="E1260" s="24"/>
      <c r="F1260" s="24"/>
      <c r="G1260" s="24"/>
      <c r="H1260" s="357">
        <v>5</v>
      </c>
      <c r="I1260" s="932" t="str">
        <f>IF(B$1233="",BM1260,BE1260)</f>
        <v>The more you generalize how we all should respond to the issue of IMMIGRATION….</v>
      </c>
      <c r="J1260" s="932"/>
      <c r="K1260" s="932"/>
      <c r="L1260" s="932"/>
      <c r="M1260" s="932"/>
      <c r="N1260" s="225"/>
      <c r="BD1260" s="2">
        <v>5</v>
      </c>
      <c r="BE1260" s="37" t="str">
        <f>CONCATENATE(BG1260,BH1260,BI1260,BJ1260,".")</f>
        <v>The more you generalize how we all should respond to the issue of IMMIGRATION….</v>
      </c>
      <c r="BF1260" s="47" t="s">
        <v>3</v>
      </c>
      <c r="BG1260" s="2" t="s">
        <v>726</v>
      </c>
      <c r="BH1260" s="2" t="str">
        <f>BH1248</f>
        <v>IMMIGRATION</v>
      </c>
      <c r="BI1260" s="2" t="s">
        <v>734</v>
      </c>
      <c r="BM1260" s="2" t="s">
        <v>737</v>
      </c>
    </row>
    <row r="1261" spans="1:65">
      <c r="A1261" s="224"/>
      <c r="B1261" s="24"/>
      <c r="C1261" s="24"/>
      <c r="D1261" s="24"/>
      <c r="E1261" s="24"/>
      <c r="F1261" s="24"/>
      <c r="G1261" s="24"/>
      <c r="H1261" s="358"/>
      <c r="I1261" s="932"/>
      <c r="J1261" s="932"/>
      <c r="K1261" s="932"/>
      <c r="L1261" s="932"/>
      <c r="M1261" s="932"/>
      <c r="N1261" s="225"/>
    </row>
    <row r="1262" spans="1:65">
      <c r="A1262" s="224"/>
      <c r="B1262" s="24"/>
      <c r="C1262" s="24"/>
      <c r="D1262" s="24"/>
      <c r="E1262" s="24"/>
      <c r="F1262" s="24"/>
      <c r="G1262" s="24"/>
      <c r="H1262" s="357"/>
      <c r="I1262" s="932"/>
      <c r="J1262" s="932"/>
      <c r="K1262" s="932"/>
      <c r="L1262" s="932"/>
      <c r="M1262" s="932"/>
      <c r="N1262" s="225"/>
    </row>
    <row r="1263" spans="1:65" ht="13.95" customHeight="1">
      <c r="A1263" s="224"/>
      <c r="B1263" s="24"/>
      <c r="C1263" s="24"/>
      <c r="D1263" s="24"/>
      <c r="E1263" s="24"/>
      <c r="F1263" s="24"/>
      <c r="G1263" s="24"/>
      <c r="H1263" s="356" t="s">
        <v>763</v>
      </c>
      <c r="I1263" s="230"/>
      <c r="J1263" s="230"/>
      <c r="K1263" s="230"/>
      <c r="L1263" s="230"/>
      <c r="M1263" s="230"/>
      <c r="N1263" s="225"/>
    </row>
    <row r="1264" spans="1:65">
      <c r="A1264" s="224"/>
      <c r="B1264" s="24"/>
      <c r="C1264" s="24"/>
      <c r="D1264" s="24"/>
      <c r="E1264" s="24"/>
      <c r="F1264" s="24"/>
      <c r="G1264" s="24"/>
      <c r="H1264" s="340"/>
      <c r="I1264" s="24"/>
      <c r="J1264" s="24"/>
      <c r="K1264" s="24"/>
      <c r="L1264" s="24"/>
      <c r="M1264" s="24"/>
      <c r="N1264" s="225"/>
    </row>
    <row r="1265" spans="1:65">
      <c r="A1265" s="224"/>
      <c r="B1265" s="24"/>
      <c r="C1265" s="24"/>
      <c r="D1265" s="24"/>
      <c r="E1265" s="24"/>
      <c r="F1265" s="24"/>
      <c r="G1265" s="24"/>
      <c r="H1265" s="357">
        <v>1</v>
      </c>
      <c r="I1265" s="932" t="str">
        <f>IF(B$1233="",BM1265,BE1265)</f>
        <v>The less you generalize for relief with IMMIGRATION politics, the more responsive you are to specific needs affected by IMMIGRATION.</v>
      </c>
      <c r="J1265" s="932"/>
      <c r="K1265" s="932"/>
      <c r="L1265" s="932"/>
      <c r="M1265" s="932"/>
      <c r="N1265" s="225"/>
      <c r="BD1265" s="2">
        <v>1</v>
      </c>
      <c r="BE1265" s="37" t="str">
        <f>CONCATENATE(BG1265,BH1265,BI1265,BJ1265,".")</f>
        <v>The less you generalize for relief with IMMIGRATION politics, the more responsive you are to specific needs affected by IMMIGRATION.</v>
      </c>
      <c r="BF1265" s="47" t="s">
        <v>3</v>
      </c>
      <c r="BG1265" s="2" t="s">
        <v>753</v>
      </c>
      <c r="BH1265" s="2" t="str">
        <f>BH1244</f>
        <v>IMMIGRATION</v>
      </c>
      <c r="BI1265" s="2" t="s">
        <v>754</v>
      </c>
      <c r="BJ1265" s="2" t="str">
        <f>BJ1244</f>
        <v>IMMIGRATION</v>
      </c>
      <c r="BM1265" s="2" t="s">
        <v>800</v>
      </c>
    </row>
    <row r="1266" spans="1:65">
      <c r="A1266" s="224"/>
      <c r="B1266" s="24"/>
      <c r="C1266" s="24"/>
      <c r="D1266" s="24"/>
      <c r="E1266" s="24"/>
      <c r="F1266" s="24"/>
      <c r="G1266" s="24"/>
      <c r="H1266" s="340"/>
      <c r="I1266" s="932"/>
      <c r="J1266" s="932"/>
      <c r="K1266" s="932"/>
      <c r="L1266" s="932"/>
      <c r="M1266" s="932"/>
      <c r="N1266" s="225"/>
    </row>
    <row r="1267" spans="1:65">
      <c r="A1267" s="224"/>
      <c r="B1267" s="24"/>
      <c r="C1267" s="24"/>
      <c r="D1267" s="24"/>
      <c r="E1267" s="24"/>
      <c r="F1267" s="24"/>
      <c r="G1267" s="24"/>
      <c r="H1267" s="340"/>
      <c r="I1267" s="932"/>
      <c r="J1267" s="932"/>
      <c r="K1267" s="932"/>
      <c r="L1267" s="932"/>
      <c r="M1267" s="932"/>
      <c r="N1267" s="225"/>
    </row>
    <row r="1268" spans="1:65">
      <c r="A1268" s="224"/>
      <c r="B1268" s="24"/>
      <c r="C1268" s="24"/>
      <c r="D1268" s="24"/>
      <c r="E1268" s="24"/>
      <c r="F1268" s="24"/>
      <c r="G1268" s="24"/>
      <c r="H1268" s="340"/>
      <c r="I1268" s="932"/>
      <c r="J1268" s="932"/>
      <c r="K1268" s="932"/>
      <c r="L1268" s="932"/>
      <c r="M1268" s="932"/>
      <c r="N1268" s="225"/>
    </row>
    <row r="1269" spans="1:65">
      <c r="A1269" s="224"/>
      <c r="B1269" s="24"/>
      <c r="C1269" s="24"/>
      <c r="D1269" s="24"/>
      <c r="E1269" s="24"/>
      <c r="F1269" s="24"/>
      <c r="G1269" s="24"/>
      <c r="H1269" s="357">
        <v>2</v>
      </c>
      <c r="I1269" s="932" t="str">
        <f>IF(B$1233="",BM1269,BE1269)</f>
        <v>The more responsive to specific needs affected by IMMIGRATION, the more of your IMMIGRATION affected needs fully resolve.</v>
      </c>
      <c r="J1269" s="932"/>
      <c r="K1269" s="932"/>
      <c r="L1269" s="932"/>
      <c r="M1269" s="932"/>
      <c r="N1269" s="225"/>
      <c r="BD1269" s="2">
        <v>2</v>
      </c>
      <c r="BE1269" s="37" t="str">
        <f>CONCATENATE(BG1269,BH1269,BI1269,BJ1269,BK1269,".")</f>
        <v>The more responsive to specific needs affected by IMMIGRATION, the more of your IMMIGRATION affected needs fully resolve.</v>
      </c>
      <c r="BF1269" s="47" t="s">
        <v>3</v>
      </c>
      <c r="BG1269" s="2" t="s">
        <v>755</v>
      </c>
      <c r="BH1269" s="2" t="str">
        <f>BH1248</f>
        <v>IMMIGRATION</v>
      </c>
      <c r="BI1269" s="2" t="s">
        <v>756</v>
      </c>
      <c r="BJ1269" s="2" t="str">
        <f>BJ1248</f>
        <v>IMMIGRATION</v>
      </c>
      <c r="BK1269" s="2" t="s">
        <v>730</v>
      </c>
      <c r="BM1269" s="2" t="s">
        <v>801</v>
      </c>
    </row>
    <row r="1270" spans="1:65">
      <c r="A1270" s="224"/>
      <c r="B1270" s="24"/>
      <c r="C1270" s="24"/>
      <c r="D1270" s="24"/>
      <c r="E1270" s="24"/>
      <c r="F1270" s="24"/>
      <c r="G1270" s="24"/>
      <c r="H1270" s="358"/>
      <c r="I1270" s="932"/>
      <c r="J1270" s="932"/>
      <c r="K1270" s="932"/>
      <c r="L1270" s="932"/>
      <c r="M1270" s="932"/>
      <c r="N1270" s="225"/>
    </row>
    <row r="1271" spans="1:65">
      <c r="A1271" s="224"/>
      <c r="B1271" s="24"/>
      <c r="C1271" s="24"/>
      <c r="D1271" s="24"/>
      <c r="E1271" s="24"/>
      <c r="F1271" s="24"/>
      <c r="G1271" s="24"/>
      <c r="H1271" s="357"/>
      <c r="I1271" s="932"/>
      <c r="J1271" s="932"/>
      <c r="K1271" s="932"/>
      <c r="L1271" s="932"/>
      <c r="M1271" s="932"/>
      <c r="N1271" s="225"/>
    </row>
    <row r="1272" spans="1:65">
      <c r="A1272" s="224"/>
      <c r="B1272" s="24"/>
      <c r="C1272" s="24"/>
      <c r="D1272" s="24"/>
      <c r="E1272" s="24"/>
      <c r="F1272" s="24"/>
      <c r="G1272" s="24"/>
      <c r="H1272" s="358"/>
      <c r="I1272" s="932"/>
      <c r="J1272" s="932"/>
      <c r="K1272" s="932"/>
      <c r="L1272" s="932"/>
      <c r="M1272" s="932"/>
      <c r="N1272" s="225"/>
    </row>
    <row r="1273" spans="1:65">
      <c r="A1273" s="224"/>
      <c r="B1273" s="24"/>
      <c r="C1273" s="24"/>
      <c r="D1273" s="24"/>
      <c r="E1273" s="24"/>
      <c r="F1273" s="24"/>
      <c r="G1273" s="24"/>
      <c r="H1273" s="357">
        <v>3</v>
      </c>
      <c r="I1273" s="932" t="str">
        <f>IF(B$1233="",BM1273,BE1273)</f>
        <v>The more of your IMMIGRATION affected needs fully resolve, the less pain around the IMMIGRATION issue you naturally suffer.</v>
      </c>
      <c r="J1273" s="932"/>
      <c r="K1273" s="932"/>
      <c r="L1273" s="932"/>
      <c r="M1273" s="932"/>
      <c r="N1273" s="225"/>
      <c r="BD1273" s="2">
        <v>3</v>
      </c>
      <c r="BE1273" s="37" t="str">
        <f>CONCATENATE(BG1273,BH1273,BI1273,BJ1273,BK1273,".")</f>
        <v>The more of your IMMIGRATION affected needs fully resolve, the less pain around the IMMIGRATION issue you naturally suffer.</v>
      </c>
      <c r="BF1273" s="47" t="s">
        <v>3</v>
      </c>
      <c r="BG1273" s="2" t="s">
        <v>757</v>
      </c>
      <c r="BH1273" s="2" t="str">
        <f>BH1252</f>
        <v>IMMIGRATION</v>
      </c>
      <c r="BI1273" s="2" t="s">
        <v>758</v>
      </c>
      <c r="BJ1273" s="2" t="str">
        <f>BJ1252</f>
        <v>IMMIGRATION</v>
      </c>
      <c r="BK1273" s="2" t="s">
        <v>733</v>
      </c>
      <c r="BM1273" s="2" t="s">
        <v>802</v>
      </c>
    </row>
    <row r="1274" spans="1:65">
      <c r="A1274" s="224"/>
      <c r="B1274" s="24"/>
      <c r="C1274" s="24"/>
      <c r="D1274" s="24"/>
      <c r="E1274" s="24"/>
      <c r="F1274" s="24"/>
      <c r="G1274" s="24"/>
      <c r="H1274" s="358"/>
      <c r="I1274" s="932"/>
      <c r="J1274" s="932"/>
      <c r="K1274" s="932"/>
      <c r="L1274" s="932"/>
      <c r="M1274" s="932"/>
      <c r="N1274" s="225"/>
    </row>
    <row r="1275" spans="1:65">
      <c r="A1275" s="224"/>
      <c r="B1275" s="24"/>
      <c r="C1275" s="24"/>
      <c r="D1275" s="24"/>
      <c r="E1275" s="24"/>
      <c r="F1275" s="24"/>
      <c r="G1275" s="24"/>
      <c r="H1275" s="357"/>
      <c r="I1275" s="932"/>
      <c r="J1275" s="932"/>
      <c r="K1275" s="932"/>
      <c r="L1275" s="932"/>
      <c r="M1275" s="932"/>
      <c r="N1275" s="225"/>
    </row>
    <row r="1276" spans="1:65">
      <c r="A1276" s="224"/>
      <c r="B1276" s="24"/>
      <c r="C1276" s="24"/>
      <c r="D1276" s="24"/>
      <c r="E1276" s="24"/>
      <c r="F1276" s="24"/>
      <c r="G1276" s="24"/>
      <c r="H1276" s="358"/>
      <c r="I1276" s="932"/>
      <c r="J1276" s="932"/>
      <c r="K1276" s="932"/>
      <c r="L1276" s="932"/>
      <c r="M1276" s="932"/>
      <c r="N1276" s="225"/>
    </row>
    <row r="1277" spans="1:65">
      <c r="A1277" s="224"/>
      <c r="B1277" s="24"/>
      <c r="C1277" s="24"/>
      <c r="D1277" s="24"/>
      <c r="E1277" s="24"/>
      <c r="F1277" s="24"/>
      <c r="G1277" s="24"/>
      <c r="H1277" s="357">
        <v>4</v>
      </c>
      <c r="I1277" s="932" t="str">
        <f>IF(B$1233="",BM1277,BE1277)</f>
        <v>The less pain from unmet IMMIGRATION needs, the less you generalize for relief by using IMMIGRATION politics as a stepping stone to address overlooked specifics.</v>
      </c>
      <c r="J1277" s="932"/>
      <c r="K1277" s="932"/>
      <c r="L1277" s="932"/>
      <c r="M1277" s="932"/>
      <c r="N1277" s="225"/>
      <c r="BD1277" s="2">
        <v>4</v>
      </c>
      <c r="BE1277" s="37" t="str">
        <f>CONCATENATE(BG1277,BH1277,BI1277,BJ1277,BK1277,)</f>
        <v>The less pain from unmet IMMIGRATION needs, the less you generalize for relief by using IMMIGRATION politics as a stepping stone to address overlooked specifics.</v>
      </c>
      <c r="BF1277" s="47" t="s">
        <v>3</v>
      </c>
      <c r="BG1277" s="2" t="s">
        <v>759</v>
      </c>
      <c r="BH1277" s="2" t="str">
        <f>BH1256</f>
        <v>IMMIGRATION</v>
      </c>
      <c r="BI1277" s="2" t="s">
        <v>760</v>
      </c>
      <c r="BJ1277" s="2" t="str">
        <f>BJ1256</f>
        <v>IMMIGRATION</v>
      </c>
      <c r="BK1277" s="2" t="s">
        <v>761</v>
      </c>
      <c r="BM1277" s="2" t="s">
        <v>803</v>
      </c>
    </row>
    <row r="1278" spans="1:65">
      <c r="A1278" s="224"/>
      <c r="B1278" s="24"/>
      <c r="C1278" s="24"/>
      <c r="D1278" s="24"/>
      <c r="E1278" s="24"/>
      <c r="F1278" s="24"/>
      <c r="G1278" s="24"/>
      <c r="H1278" s="358"/>
      <c r="I1278" s="932"/>
      <c r="J1278" s="932"/>
      <c r="K1278" s="932"/>
      <c r="L1278" s="932"/>
      <c r="M1278" s="932"/>
      <c r="N1278" s="225"/>
    </row>
    <row r="1279" spans="1:65">
      <c r="A1279" s="224"/>
      <c r="B1279" s="24"/>
      <c r="C1279" s="24"/>
      <c r="D1279" s="24"/>
      <c r="E1279" s="24"/>
      <c r="F1279" s="24"/>
      <c r="G1279" s="24"/>
      <c r="H1279" s="357"/>
      <c r="I1279" s="932"/>
      <c r="J1279" s="932"/>
      <c r="K1279" s="932"/>
      <c r="L1279" s="932"/>
      <c r="M1279" s="932"/>
      <c r="N1279" s="225"/>
    </row>
    <row r="1280" spans="1:65">
      <c r="A1280" s="224"/>
      <c r="B1280" s="24"/>
      <c r="C1280" s="24"/>
      <c r="D1280" s="24"/>
      <c r="E1280" s="24"/>
      <c r="F1280" s="24"/>
      <c r="G1280" s="24"/>
      <c r="H1280" s="358"/>
      <c r="I1280" s="932"/>
      <c r="J1280" s="932"/>
      <c r="K1280" s="932"/>
      <c r="L1280" s="932"/>
      <c r="M1280" s="932"/>
      <c r="N1280" s="225"/>
    </row>
    <row r="1281" spans="1:65" ht="13.95" customHeight="1">
      <c r="A1281" s="224"/>
      <c r="B1281" s="24"/>
      <c r="C1281" s="24"/>
      <c r="D1281" s="24"/>
      <c r="E1281" s="24"/>
      <c r="F1281" s="24"/>
      <c r="G1281" s="24"/>
      <c r="H1281" s="340"/>
      <c r="I1281" s="24"/>
      <c r="J1281" s="234"/>
      <c r="K1281" s="234"/>
      <c r="L1281" s="234"/>
      <c r="M1281" s="234"/>
      <c r="N1281" s="225"/>
      <c r="BD1281" s="2">
        <v>5</v>
      </c>
      <c r="BE1281" s="37" t="str">
        <f>CONCATENATE(BG1281,BH1281,BI1281,BJ1281,".")</f>
        <v>The less you generalize how we all should respond to the issue of IMMIGRATION….</v>
      </c>
      <c r="BF1281" s="47" t="s">
        <v>3</v>
      </c>
      <c r="BG1281" s="2" t="s">
        <v>762</v>
      </c>
      <c r="BH1281" s="2" t="str">
        <f>BH1260</f>
        <v>IMMIGRATION</v>
      </c>
      <c r="BI1281" s="2" t="s">
        <v>734</v>
      </c>
      <c r="BM1281" s="2" t="s">
        <v>804</v>
      </c>
    </row>
    <row r="1282" spans="1:65">
      <c r="A1282" s="224"/>
      <c r="B1282" s="24"/>
      <c r="C1282" s="24"/>
      <c r="D1282" s="24"/>
      <c r="E1282" s="24"/>
      <c r="F1282" s="24"/>
      <c r="G1282" s="24"/>
      <c r="H1282" s="357">
        <v>5</v>
      </c>
      <c r="I1282" s="932" t="str">
        <f>IF(B$1233="",BM1281,BE1281)</f>
        <v>The less you generalize how we all should respond to the issue of IMMIGRATION….</v>
      </c>
      <c r="J1282" s="932"/>
      <c r="K1282" s="932"/>
      <c r="L1282" s="932"/>
      <c r="M1282" s="932"/>
      <c r="N1282" s="225"/>
    </row>
    <row r="1283" spans="1:65">
      <c r="A1283" s="224"/>
      <c r="B1283" s="24"/>
      <c r="C1283" s="24"/>
      <c r="D1283" s="24"/>
      <c r="E1283" s="24"/>
      <c r="F1283" s="24"/>
      <c r="G1283" s="24"/>
      <c r="H1283" s="340"/>
      <c r="I1283" s="932"/>
      <c r="J1283" s="932"/>
      <c r="K1283" s="932"/>
      <c r="L1283" s="932"/>
      <c r="M1283" s="932"/>
      <c r="N1283" s="225"/>
    </row>
    <row r="1284" spans="1:65">
      <c r="A1284" s="226"/>
      <c r="B1284" s="231"/>
      <c r="C1284" s="231"/>
      <c r="D1284" s="231"/>
      <c r="E1284" s="231"/>
      <c r="F1284" s="231"/>
      <c r="G1284" s="231"/>
      <c r="H1284" s="342"/>
      <c r="I1284" s="231"/>
      <c r="J1284" s="231"/>
      <c r="K1284" s="231"/>
      <c r="L1284" s="231"/>
      <c r="M1284" s="231"/>
      <c r="N1284" s="228"/>
    </row>
    <row r="1285" spans="1:65" ht="30" customHeight="1">
      <c r="A1285" s="220" t="s">
        <v>1148</v>
      </c>
      <c r="B1285" s="914" t="s">
        <v>1211</v>
      </c>
      <c r="C1285" s="914"/>
      <c r="D1285" s="914"/>
      <c r="E1285" s="914"/>
      <c r="F1285" s="914"/>
      <c r="G1285" s="914"/>
      <c r="H1285" s="914"/>
      <c r="I1285" s="914"/>
      <c r="J1285" s="914"/>
      <c r="K1285" s="914"/>
      <c r="L1285" s="914"/>
      <c r="M1285" s="182"/>
      <c r="N1285" s="232" t="s">
        <v>1149</v>
      </c>
    </row>
    <row r="1286" spans="1:65">
      <c r="A1286" s="224"/>
      <c r="B1286" s="949" t="s">
        <v>1238</v>
      </c>
      <c r="C1286" s="949"/>
      <c r="D1286" s="949"/>
      <c r="E1286" s="949"/>
      <c r="F1286" s="949"/>
      <c r="G1286" s="949"/>
      <c r="H1286" s="949"/>
      <c r="I1286" s="949"/>
      <c r="J1286" s="949"/>
      <c r="K1286" s="949"/>
      <c r="L1286" s="949"/>
      <c r="M1286" s="949"/>
      <c r="N1286" s="225"/>
    </row>
    <row r="1287" spans="1:65" ht="13.95" customHeight="1">
      <c r="A1287" s="224"/>
      <c r="B1287" s="949"/>
      <c r="C1287" s="949"/>
      <c r="D1287" s="949"/>
      <c r="E1287" s="949"/>
      <c r="F1287" s="949"/>
      <c r="G1287" s="949"/>
      <c r="H1287" s="949"/>
      <c r="I1287" s="949"/>
      <c r="J1287" s="949"/>
      <c r="K1287" s="949"/>
      <c r="L1287" s="949"/>
      <c r="M1287" s="949"/>
      <c r="N1287" s="225"/>
    </row>
    <row r="1288" spans="1:65" ht="14.4" customHeight="1">
      <c r="A1288" s="224"/>
      <c r="B1288" s="949"/>
      <c r="C1288" s="949"/>
      <c r="D1288" s="949"/>
      <c r="E1288" s="949"/>
      <c r="F1288" s="949"/>
      <c r="G1288" s="949"/>
      <c r="H1288" s="949"/>
      <c r="I1288" s="949"/>
      <c r="J1288" s="949"/>
      <c r="K1288" s="949"/>
      <c r="L1288" s="949"/>
      <c r="M1288" s="949"/>
      <c r="N1288" s="225"/>
    </row>
    <row r="1289" spans="1:65" ht="13.95" customHeight="1">
      <c r="A1289" s="224"/>
      <c r="B1289" s="917" t="s">
        <v>1239</v>
      </c>
      <c r="C1289" s="917"/>
      <c r="D1289" s="917"/>
      <c r="E1289" s="917"/>
      <c r="F1289" s="917"/>
      <c r="G1289" s="917"/>
      <c r="H1289" s="917"/>
      <c r="I1289" s="917"/>
      <c r="J1289" s="917"/>
      <c r="K1289" s="917"/>
      <c r="L1289" s="917"/>
      <c r="M1289" s="917"/>
      <c r="N1289" s="225"/>
    </row>
    <row r="1290" spans="1:65">
      <c r="A1290" s="224"/>
      <c r="B1290" s="917"/>
      <c r="C1290" s="917"/>
      <c r="D1290" s="917"/>
      <c r="E1290" s="917"/>
      <c r="F1290" s="917"/>
      <c r="G1290" s="917"/>
      <c r="H1290" s="917"/>
      <c r="I1290" s="917"/>
      <c r="J1290" s="917"/>
      <c r="K1290" s="917"/>
      <c r="L1290" s="917"/>
      <c r="M1290" s="917"/>
      <c r="N1290" s="225"/>
    </row>
    <row r="1291" spans="1:65">
      <c r="A1291" s="224"/>
      <c r="B1291" s="917"/>
      <c r="C1291" s="917"/>
      <c r="D1291" s="917"/>
      <c r="E1291" s="917"/>
      <c r="F1291" s="917"/>
      <c r="G1291" s="917"/>
      <c r="H1291" s="917"/>
      <c r="I1291" s="917"/>
      <c r="J1291" s="917"/>
      <c r="K1291" s="917"/>
      <c r="L1291" s="917"/>
      <c r="M1291" s="917"/>
      <c r="N1291" s="225"/>
    </row>
    <row r="1292" spans="1:65" ht="15.6" customHeight="1">
      <c r="A1292" s="224"/>
      <c r="B1292" s="917"/>
      <c r="C1292" s="917"/>
      <c r="D1292" s="917"/>
      <c r="E1292" s="917"/>
      <c r="F1292" s="917"/>
      <c r="G1292" s="917"/>
      <c r="H1292" s="917"/>
      <c r="I1292" s="917"/>
      <c r="J1292" s="917"/>
      <c r="K1292" s="917"/>
      <c r="L1292" s="917"/>
      <c r="M1292" s="917"/>
      <c r="N1292" s="225"/>
    </row>
    <row r="1293" spans="1:65" ht="16.2">
      <c r="A1293" s="312"/>
      <c r="B1293" s="311"/>
      <c r="C1293" s="133"/>
      <c r="D1293" s="133"/>
      <c r="E1293" s="133"/>
      <c r="F1293" s="133"/>
      <c r="G1293" s="133"/>
      <c r="H1293" s="359"/>
      <c r="I1293" s="134"/>
      <c r="J1293" s="134"/>
      <c r="K1293" s="134"/>
      <c r="L1293" s="134"/>
      <c r="M1293" s="134"/>
      <c r="N1293" s="233"/>
      <c r="BE1293" s="49" t="str">
        <f t="shared" ref="BE1293:BL1293" si="20">BE1163</f>
        <v>IMM</v>
      </c>
      <c r="BF1293" s="49" t="str">
        <f t="shared" si="20"/>
        <v>CLI</v>
      </c>
      <c r="BG1293" s="49" t="str">
        <f t="shared" si="20"/>
        <v>GUN</v>
      </c>
      <c r="BH1293" s="49" t="str">
        <f t="shared" si="20"/>
        <v>ABO</v>
      </c>
      <c r="BI1293" s="49" t="str">
        <f t="shared" si="20"/>
        <v>HEA</v>
      </c>
      <c r="BJ1293" s="49" t="str">
        <f t="shared" si="20"/>
        <v>CRI</v>
      </c>
      <c r="BK1293" s="49" t="str">
        <f t="shared" si="20"/>
        <v>ECO</v>
      </c>
      <c r="BL1293" s="49" t="str">
        <f t="shared" si="20"/>
        <v>RAC</v>
      </c>
      <c r="BM1293" s="47" t="s">
        <v>3</v>
      </c>
    </row>
    <row r="1294" spans="1:65" ht="15.6" customHeight="1">
      <c r="A1294" s="312"/>
      <c r="B1294" s="1097" t="str">
        <f>BB1294</f>
        <v>The more you affirm my need to include worthy migrants, the easier to respect your need to stay safe from violent migrants.</v>
      </c>
      <c r="C1294" s="1097"/>
      <c r="D1294" s="1097"/>
      <c r="E1294" s="1097"/>
      <c r="F1294" s="1097"/>
      <c r="G1294" s="133"/>
      <c r="H1294" s="360"/>
      <c r="I1294" s="1098" t="str">
        <f>BB1296</f>
        <v>The more you affirm my need to stay safe from lawless migrants, the easier to respect your need to include legitimate migrants.</v>
      </c>
      <c r="J1294" s="1098"/>
      <c r="K1294" s="1098"/>
      <c r="L1294" s="1098"/>
      <c r="M1294" s="1098"/>
      <c r="N1294" s="233"/>
      <c r="BB1294" s="2" t="str">
        <f>IF($C$1047=BB$1047,BE1294,IF($C$1047=BB$1048,BF1294,IF($C$1047=BB$1049,BG1294,IF($C$1047=BB$1050,BH1294,IF($C$1047=BB$1051,BI1294,IF($C$1047=BB$1052,BJ1294,IF($C$1047=BB$1053,BK1294,IF($C$1047=BB$1054,BL1294,""))))))))</f>
        <v>The more you affirm my need to include worthy migrants, the easier to respect your need to stay safe from violent migrants.</v>
      </c>
      <c r="BD1294" s="131" t="s">
        <v>602</v>
      </c>
      <c r="BE1294" s="2" t="s">
        <v>606</v>
      </c>
      <c r="BF1294" s="2" t="s">
        <v>598</v>
      </c>
      <c r="BG1294" s="2" t="s">
        <v>610</v>
      </c>
      <c r="BH1294" s="2" t="s">
        <v>614</v>
      </c>
      <c r="BI1294" s="2" t="s">
        <v>632</v>
      </c>
      <c r="BJ1294" s="2" t="s">
        <v>620</v>
      </c>
      <c r="BK1294" s="2" t="s">
        <v>624</v>
      </c>
      <c r="BL1294" s="2" t="s">
        <v>628</v>
      </c>
      <c r="BM1294" s="47" t="s">
        <v>3</v>
      </c>
    </row>
    <row r="1295" spans="1:65" ht="15" customHeight="1">
      <c r="A1295" s="312"/>
      <c r="B1295" s="1097"/>
      <c r="C1295" s="1097"/>
      <c r="D1295" s="1097"/>
      <c r="E1295" s="1097"/>
      <c r="F1295" s="1097"/>
      <c r="G1295" s="133"/>
      <c r="H1295" s="360"/>
      <c r="I1295" s="1098"/>
      <c r="J1295" s="1098"/>
      <c r="K1295" s="1098"/>
      <c r="L1295" s="1098"/>
      <c r="M1295" s="1098"/>
      <c r="N1295" s="233"/>
      <c r="BB1295" s="2" t="str">
        <f>IF($C$1047=BB$1047,BE1295,IF($C$1047=BB$1048,BF1295,IF($C$1047=BB$1049,BG1295,IF($C$1047=BB$1050,BH1295,IF($C$1047=BB$1051,BI1295,IF($C$1047=BB$1052,BJ1295,IF($C$1047=BB$1053,BK1295,IF($C$1047=BB$1054,BL1295,""))))))))</f>
        <v>But the more you insist we all blend in to some melting pot, the less I can serve your need for local or national cohesion.</v>
      </c>
      <c r="BD1295" s="131" t="s">
        <v>603</v>
      </c>
      <c r="BE1295" s="2" t="s">
        <v>607</v>
      </c>
      <c r="BF1295" s="2" t="s">
        <v>599</v>
      </c>
      <c r="BG1295" s="2" t="s">
        <v>611</v>
      </c>
      <c r="BH1295" s="2" t="s">
        <v>615</v>
      </c>
      <c r="BI1295" s="132" t="s">
        <v>618</v>
      </c>
      <c r="BJ1295" s="2" t="s">
        <v>621</v>
      </c>
      <c r="BK1295" s="2" t="s">
        <v>625</v>
      </c>
      <c r="BL1295" s="2" t="s">
        <v>629</v>
      </c>
      <c r="BM1295" s="47" t="s">
        <v>3</v>
      </c>
    </row>
    <row r="1296" spans="1:65" ht="15" customHeight="1">
      <c r="A1296" s="312"/>
      <c r="B1296" s="1097"/>
      <c r="C1296" s="1097"/>
      <c r="D1296" s="1097"/>
      <c r="E1296" s="1097"/>
      <c r="F1296" s="1097"/>
      <c r="G1296" s="133"/>
      <c r="H1296" s="360"/>
      <c r="I1296" s="1098"/>
      <c r="J1296" s="1098"/>
      <c r="K1296" s="1098"/>
      <c r="L1296" s="1098"/>
      <c r="M1296" s="1098"/>
      <c r="N1296" s="233"/>
      <c r="BB1296" s="2" t="str">
        <f>IF($C$1047=BB$1047,BE1296,IF($C$1047=BB$1048,BF1296,IF($C$1047=BB$1049,BG1296,IF($C$1047=BB$1050,BH1296,IF($C$1047=BB$1051,BI1296,IF($C$1047=BB$1052,BJ1296,IF($C$1047=BB$1053,BK1296,IF($C$1047=BB$1054,BL1296,""))))))))</f>
        <v>The more you affirm my need to stay safe from lawless migrants, the easier to respect your need to include legitimate migrants.</v>
      </c>
      <c r="BD1296" s="131" t="s">
        <v>604</v>
      </c>
      <c r="BE1296" s="2" t="s">
        <v>608</v>
      </c>
      <c r="BF1296" s="2" t="s">
        <v>600</v>
      </c>
      <c r="BG1296" s="2" t="s">
        <v>612</v>
      </c>
      <c r="BH1296" s="2" t="s">
        <v>616</v>
      </c>
      <c r="BI1296" s="2" t="s">
        <v>619</v>
      </c>
      <c r="BJ1296" s="2" t="s">
        <v>622</v>
      </c>
      <c r="BK1296" s="2" t="s">
        <v>626</v>
      </c>
      <c r="BL1296" s="2" t="s">
        <v>630</v>
      </c>
      <c r="BM1296" s="47" t="s">
        <v>3</v>
      </c>
    </row>
    <row r="1297" spans="1:65" ht="15" customHeight="1">
      <c r="A1297" s="312"/>
      <c r="B1297" s="1097"/>
      <c r="C1297" s="1097"/>
      <c r="D1297" s="1097"/>
      <c r="E1297" s="1097"/>
      <c r="F1297" s="1097"/>
      <c r="G1297" s="133"/>
      <c r="H1297" s="360"/>
      <c r="I1297" s="1098"/>
      <c r="J1297" s="1098"/>
      <c r="K1297" s="1098"/>
      <c r="L1297" s="1098"/>
      <c r="M1297" s="1098"/>
      <c r="N1297" s="233"/>
      <c r="BB1297" s="2" t="str">
        <f>IF($C$1047=BB$1047,BE1297,IF($C$1047=BB$1048,BF1297,IF($C$1047=BB$1049,BG1297,IF($C$1047=BB$1050,BH1297,IF($C$1047=BB$1051,BI1297,IF($C$1047=BB$1052,BJ1297,IF($C$1047=BB$1053,BK1297,IF($C$1047=BB$1054,BL1297,""))))))))</f>
        <v>But the more you insist we compromise our national cohesion, the less I can accept their lack of acculturation.</v>
      </c>
      <c r="BD1297" s="131" t="s">
        <v>605</v>
      </c>
      <c r="BE1297" s="2" t="s">
        <v>609</v>
      </c>
      <c r="BF1297" s="2" t="s">
        <v>601</v>
      </c>
      <c r="BG1297" s="2" t="s">
        <v>613</v>
      </c>
      <c r="BH1297" s="2" t="s">
        <v>617</v>
      </c>
      <c r="BI1297" s="2" t="s">
        <v>633</v>
      </c>
      <c r="BJ1297" s="2" t="s">
        <v>623</v>
      </c>
      <c r="BK1297" s="2" t="s">
        <v>627</v>
      </c>
      <c r="BL1297" s="2" t="s">
        <v>631</v>
      </c>
      <c r="BM1297" s="47" t="s">
        <v>3</v>
      </c>
    </row>
    <row r="1298" spans="1:65" ht="13.95" customHeight="1">
      <c r="A1298" s="312"/>
      <c r="B1298" s="1097"/>
      <c r="C1298" s="1097"/>
      <c r="D1298" s="1097"/>
      <c r="E1298" s="1097"/>
      <c r="F1298" s="1097"/>
      <c r="G1298" s="133"/>
      <c r="H1298" s="360"/>
      <c r="I1298" s="1098"/>
      <c r="J1298" s="1098"/>
      <c r="K1298" s="1098"/>
      <c r="L1298" s="1098"/>
      <c r="M1298" s="1098"/>
      <c r="N1298" s="233"/>
    </row>
    <row r="1299" spans="1:65" ht="13.95" customHeight="1">
      <c r="A1299" s="312"/>
      <c r="B1299" s="1097"/>
      <c r="C1299" s="1097"/>
      <c r="D1299" s="1097"/>
      <c r="E1299" s="1097"/>
      <c r="F1299" s="1097"/>
      <c r="G1299" s="133"/>
      <c r="H1299" s="360"/>
      <c r="I1299" s="1098"/>
      <c r="J1299" s="1098"/>
      <c r="K1299" s="1098"/>
      <c r="L1299" s="1098"/>
      <c r="M1299" s="1098"/>
      <c r="N1299" s="233"/>
    </row>
    <row r="1300" spans="1:65" ht="13.95" customHeight="1">
      <c r="A1300" s="312"/>
      <c r="B1300" s="1097"/>
      <c r="C1300" s="1097"/>
      <c r="D1300" s="1097"/>
      <c r="E1300" s="1097"/>
      <c r="F1300" s="1097"/>
      <c r="G1300" s="133"/>
      <c r="H1300" s="360"/>
      <c r="I1300" s="1098"/>
      <c r="J1300" s="1098"/>
      <c r="K1300" s="1098"/>
      <c r="L1300" s="1098"/>
      <c r="M1300" s="1098"/>
      <c r="N1300" s="233"/>
    </row>
    <row r="1301" spans="1:65" ht="13.95" customHeight="1">
      <c r="A1301" s="312"/>
      <c r="B1301" s="1097"/>
      <c r="C1301" s="1097"/>
      <c r="D1301" s="1097"/>
      <c r="E1301" s="1097"/>
      <c r="F1301" s="1097"/>
      <c r="G1301" s="133"/>
      <c r="H1301" s="360"/>
      <c r="I1301" s="1098"/>
      <c r="J1301" s="1098"/>
      <c r="K1301" s="1098"/>
      <c r="L1301" s="1098"/>
      <c r="M1301" s="1098"/>
      <c r="N1301" s="233"/>
      <c r="BE1301" s="159" t="s">
        <v>985</v>
      </c>
    </row>
    <row r="1302" spans="1:65" ht="13.95" customHeight="1">
      <c r="A1302" s="312"/>
      <c r="B1302" s="1100"/>
      <c r="C1302" s="1100" t="s">
        <v>553</v>
      </c>
      <c r="D1302" s="3"/>
      <c r="E1302" s="3"/>
      <c r="F1302" s="3"/>
      <c r="G1302" s="1100"/>
      <c r="H1302" s="1101"/>
      <c r="I1302" s="134"/>
      <c r="J1302" s="134"/>
      <c r="K1302" s="134"/>
      <c r="L1302" s="1102" t="s">
        <v>552</v>
      </c>
      <c r="M1302" s="134"/>
      <c r="N1302" s="233"/>
      <c r="BE1302" s="159" t="s">
        <v>986</v>
      </c>
    </row>
    <row r="1303" spans="1:65" ht="13.95" customHeight="1">
      <c r="A1303" s="312"/>
      <c r="B1303" s="1100"/>
      <c r="C1303" s="1100"/>
      <c r="D1303" s="3"/>
      <c r="E1303" s="3"/>
      <c r="F1303" s="3"/>
      <c r="G1303" s="1100"/>
      <c r="H1303" s="1101"/>
      <c r="I1303" s="134"/>
      <c r="J1303" s="134"/>
      <c r="K1303" s="134"/>
      <c r="L1303" s="1102"/>
      <c r="M1303" s="134"/>
      <c r="N1303" s="233"/>
      <c r="BE1303" s="159" t="s">
        <v>984</v>
      </c>
    </row>
    <row r="1304" spans="1:65" ht="13.95" customHeight="1">
      <c r="A1304" s="312"/>
      <c r="B1304" s="1100"/>
      <c r="C1304" s="1100"/>
      <c r="D1304" s="3"/>
      <c r="E1304" s="3"/>
      <c r="F1304" s="3"/>
      <c r="G1304" s="1100"/>
      <c r="H1304" s="1101"/>
      <c r="I1304" s="134"/>
      <c r="J1304" s="134"/>
      <c r="K1304" s="134"/>
      <c r="L1304" s="1102"/>
      <c r="M1304" s="134"/>
      <c r="N1304" s="233"/>
      <c r="BE1304" s="159" t="s">
        <v>987</v>
      </c>
    </row>
    <row r="1305" spans="1:65" ht="13.95" customHeight="1">
      <c r="A1305" s="312"/>
      <c r="B1305" s="1100"/>
      <c r="C1305" s="1100"/>
      <c r="D1305" s="3"/>
      <c r="E1305" s="3"/>
      <c r="F1305" s="3"/>
      <c r="G1305" s="1100"/>
      <c r="H1305" s="1101"/>
      <c r="I1305" s="134"/>
      <c r="J1305" s="134"/>
      <c r="K1305" s="134"/>
      <c r="L1305" s="1102"/>
      <c r="M1305" s="134"/>
      <c r="N1305" s="233"/>
      <c r="BE1305" s="159" t="s">
        <v>988</v>
      </c>
    </row>
    <row r="1306" spans="1:65" ht="13.95" customHeight="1">
      <c r="A1306" s="312"/>
      <c r="B1306" s="1100"/>
      <c r="C1306" s="1100"/>
      <c r="D1306" s="3"/>
      <c r="E1306" s="3"/>
      <c r="F1306" s="3"/>
      <c r="G1306" s="1100"/>
      <c r="H1306" s="1101"/>
      <c r="I1306" s="134"/>
      <c r="J1306" s="134"/>
      <c r="K1306" s="134"/>
      <c r="L1306" s="1102"/>
      <c r="M1306" s="134"/>
      <c r="N1306" s="233"/>
    </row>
    <row r="1307" spans="1:65" ht="13.95" customHeight="1">
      <c r="A1307" s="312"/>
      <c r="B1307" s="1097" t="str">
        <f>BB1295</f>
        <v>But the more you insist we all blend in to some melting pot, the less I can serve your need for local or national cohesion.</v>
      </c>
      <c r="C1307" s="1097"/>
      <c r="D1307" s="1097"/>
      <c r="E1307" s="1097"/>
      <c r="F1307" s="1097"/>
      <c r="G1307" s="133"/>
      <c r="H1307" s="360"/>
      <c r="I1307" s="1098" t="str">
        <f>BB1297</f>
        <v>But the more you insist we compromise our national cohesion, the less I can accept their lack of acculturation.</v>
      </c>
      <c r="J1307" s="1098"/>
      <c r="K1307" s="1098"/>
      <c r="L1307" s="1098"/>
      <c r="M1307" s="1098"/>
      <c r="N1307" s="233"/>
      <c r="BF1307" s="37" t="str">
        <f>IF(B1233=BB1047,BF1047,IF(B1233=BB1048,BF1048,IF(B1233=BB1049,BF1049,IF(B1233=BB1050,BF1050,IF(B1233=BB1051,BF1051,IF(B1233=BB1052,BF1052,IF(B1233=BB1053,BF1053,IF(B1233=BB1054,BF1054,IF(B1233=0,"",IF(B1233="",""))))))))))</f>
        <v>immigration</v>
      </c>
    </row>
    <row r="1308" spans="1:65" ht="13.95" customHeight="1">
      <c r="A1308" s="312"/>
      <c r="B1308" s="1097"/>
      <c r="C1308" s="1097"/>
      <c r="D1308" s="1097"/>
      <c r="E1308" s="1097"/>
      <c r="F1308" s="1097"/>
      <c r="G1308" s="133"/>
      <c r="H1308" s="360"/>
      <c r="I1308" s="1098"/>
      <c r="J1308" s="1098"/>
      <c r="K1308" s="1098"/>
      <c r="L1308" s="1098"/>
      <c r="M1308" s="1098"/>
      <c r="N1308" s="233"/>
      <c r="BC1308" s="2" t="str">
        <f>IF(OR(B1233=0,B1233=""),"",CONCATENATE(BE1308,BF1308,BG1308))</f>
        <v>This wording helps me relate better to both sides of immigration politics.</v>
      </c>
      <c r="BE1308" s="2" t="s">
        <v>978</v>
      </c>
      <c r="BF1308" s="2" t="str">
        <f>IF(BF$1307="","divisive",BF$1307)</f>
        <v>immigration</v>
      </c>
      <c r="BG1308" s="2" t="s">
        <v>979</v>
      </c>
    </row>
    <row r="1309" spans="1:65" ht="13.95" customHeight="1">
      <c r="A1309" s="312"/>
      <c r="B1309" s="1097"/>
      <c r="C1309" s="1097"/>
      <c r="D1309" s="1097"/>
      <c r="E1309" s="1097"/>
      <c r="F1309" s="1097"/>
      <c r="G1309" s="133"/>
      <c r="H1309" s="360"/>
      <c r="I1309" s="1098"/>
      <c r="J1309" s="1098"/>
      <c r="K1309" s="1098"/>
      <c r="L1309" s="1098"/>
      <c r="M1309" s="1098"/>
      <c r="N1309" s="233"/>
      <c r="BC1309" s="2" t="str">
        <f>IF(OR(B1233=0,B1233=""),"",CONCATENATE(BE1309,BF1309,BG1309))</f>
        <v>Now I can better understand immigration politics' competing priorities.</v>
      </c>
      <c r="BE1309" s="2" t="s">
        <v>980</v>
      </c>
      <c r="BF1309" s="2" t="str">
        <f>BF1308</f>
        <v>immigration</v>
      </c>
      <c r="BG1309" s="2" t="s">
        <v>983</v>
      </c>
    </row>
    <row r="1310" spans="1:65" ht="13.95" customHeight="1">
      <c r="A1310" s="312"/>
      <c r="B1310" s="1097"/>
      <c r="C1310" s="1097"/>
      <c r="D1310" s="1097"/>
      <c r="E1310" s="1097"/>
      <c r="F1310" s="1097"/>
      <c r="G1310" s="133"/>
      <c r="H1310" s="360"/>
      <c r="I1310" s="1098"/>
      <c r="J1310" s="1098"/>
      <c r="K1310" s="1098"/>
      <c r="L1310" s="1098"/>
      <c r="M1310" s="1098"/>
      <c r="N1310" s="233"/>
      <c r="BC1310" s="2" t="str">
        <f>IF(OR(B1233=0,B1233=""),"",CONCATENATE(BE1310,BF1310,BG1310))</f>
        <v>This wording helps me let go of trusted immigration generalizations.</v>
      </c>
      <c r="BE1310" s="2" t="s">
        <v>981</v>
      </c>
      <c r="BF1310" s="2" t="str">
        <f>IF(BF$1307="","hateful",BF$1307)</f>
        <v>immigration</v>
      </c>
      <c r="BG1310" s="2" t="s">
        <v>982</v>
      </c>
    </row>
    <row r="1311" spans="1:65" ht="13.95" customHeight="1">
      <c r="A1311" s="312"/>
      <c r="B1311" s="1097"/>
      <c r="C1311" s="1097"/>
      <c r="D1311" s="1097"/>
      <c r="E1311" s="1097"/>
      <c r="F1311" s="1097"/>
      <c r="G1311" s="133"/>
      <c r="H1311" s="360"/>
      <c r="I1311" s="1098"/>
      <c r="J1311" s="1098"/>
      <c r="K1311" s="1098"/>
      <c r="L1311" s="1098"/>
      <c r="M1311" s="1098"/>
      <c r="N1311" s="233"/>
    </row>
    <row r="1312" spans="1:65" ht="13.95" customHeight="1">
      <c r="A1312" s="312"/>
      <c r="B1312" s="1097"/>
      <c r="C1312" s="1097"/>
      <c r="D1312" s="1097"/>
      <c r="E1312" s="1097"/>
      <c r="F1312" s="1097"/>
      <c r="G1312" s="133"/>
      <c r="H1312" s="360"/>
      <c r="I1312" s="1098"/>
      <c r="J1312" s="1098"/>
      <c r="K1312" s="1098"/>
      <c r="L1312" s="1098"/>
      <c r="M1312" s="1098"/>
      <c r="N1312" s="233"/>
    </row>
    <row r="1313" spans="1:63" ht="13.95" customHeight="1">
      <c r="A1313" s="312"/>
      <c r="B1313" s="1097"/>
      <c r="C1313" s="1097"/>
      <c r="D1313" s="1097"/>
      <c r="E1313" s="1097"/>
      <c r="F1313" s="1097"/>
      <c r="G1313" s="133"/>
      <c r="H1313" s="360"/>
      <c r="I1313" s="1098"/>
      <c r="J1313" s="1098"/>
      <c r="K1313" s="1098"/>
      <c r="L1313" s="1098"/>
      <c r="M1313" s="1098"/>
      <c r="N1313" s="233"/>
    </row>
    <row r="1314" spans="1:63" ht="13.95" customHeight="1">
      <c r="A1314" s="312"/>
      <c r="B1314" s="1097"/>
      <c r="C1314" s="1097"/>
      <c r="D1314" s="1097"/>
      <c r="E1314" s="1097"/>
      <c r="F1314" s="1097"/>
      <c r="G1314" s="133"/>
      <c r="H1314" s="360"/>
      <c r="I1314" s="1098"/>
      <c r="J1314" s="1098"/>
      <c r="K1314" s="1098"/>
      <c r="L1314" s="1098"/>
      <c r="M1314" s="1098"/>
      <c r="N1314" s="233"/>
      <c r="BG1314" s="2" t="s">
        <v>990</v>
      </c>
      <c r="BH1314" s="2" t="s">
        <v>718</v>
      </c>
      <c r="BI1314" s="2" t="s">
        <v>999</v>
      </c>
      <c r="BJ1314" s="2" t="s">
        <v>720</v>
      </c>
      <c r="BK1314" s="2" t="s">
        <v>989</v>
      </c>
    </row>
    <row r="1315" spans="1:63">
      <c r="A1315" s="312"/>
      <c r="B1315" s="133"/>
      <c r="C1315" s="133"/>
      <c r="D1315" s="133"/>
      <c r="E1315" s="133"/>
      <c r="F1315" s="133"/>
      <c r="G1315" s="133"/>
      <c r="H1315" s="359"/>
      <c r="I1315" s="134"/>
      <c r="J1315" s="134"/>
      <c r="K1315" s="134"/>
      <c r="L1315" s="134"/>
      <c r="M1315" s="134"/>
      <c r="N1315" s="225"/>
      <c r="BF1315" s="2">
        <v>15</v>
      </c>
      <c r="BG1315" s="2">
        <f>BF1315-3</f>
        <v>12</v>
      </c>
      <c r="BH1315" s="2">
        <f>BG1315-3</f>
        <v>9</v>
      </c>
      <c r="BI1315" s="2">
        <f>BH1315-3</f>
        <v>6</v>
      </c>
      <c r="BJ1315" s="2">
        <f>BI1315-3</f>
        <v>3</v>
      </c>
      <c r="BK1315" s="2">
        <f>BJ1315-3</f>
        <v>0</v>
      </c>
    </row>
    <row r="1316" spans="1:63" ht="16.95" customHeight="1" thickBot="1">
      <c r="A1316" s="224"/>
      <c r="B1316" s="24"/>
      <c r="C1316" s="24"/>
      <c r="D1316" s="24"/>
      <c r="E1316" s="24"/>
      <c r="F1316" s="24"/>
      <c r="G1316" s="24"/>
      <c r="H1316" s="340"/>
      <c r="I1316" s="24"/>
      <c r="J1316" s="24"/>
      <c r="K1316" s="24"/>
      <c r="L1316" s="24"/>
      <c r="M1316" s="24"/>
      <c r="N1316" s="225"/>
    </row>
    <row r="1317" spans="1:63" ht="16.95" customHeight="1">
      <c r="A1317" s="224"/>
      <c r="B1317" s="1103" t="str">
        <f>BC1308</f>
        <v>This wording helps me relate better to both sides of immigration politics.</v>
      </c>
      <c r="C1317" s="1103"/>
      <c r="D1317" s="1103"/>
      <c r="E1317" s="1103"/>
      <c r="F1317" s="1103"/>
      <c r="G1317" s="1103"/>
      <c r="H1317" s="1104"/>
      <c r="I1317" s="1050"/>
      <c r="J1317" s="919"/>
      <c r="K1317" s="919"/>
      <c r="L1317" s="919"/>
      <c r="M1317" s="920"/>
      <c r="N1317" s="225"/>
      <c r="BE1317" s="2">
        <f>IF(I1317=BE$1301,5,IF(I1317=BE$1302,4,IF(I1317=BE$1303,3,IF(I1317=BE$1304,2,IF(I1317=BE$1305,1,0)))))</f>
        <v>0</v>
      </c>
    </row>
    <row r="1318" spans="1:63" ht="16.95" customHeight="1" thickBot="1">
      <c r="A1318" s="224"/>
      <c r="B1318" s="1103"/>
      <c r="C1318" s="1103"/>
      <c r="D1318" s="1103"/>
      <c r="E1318" s="1103"/>
      <c r="F1318" s="1103"/>
      <c r="G1318" s="1103"/>
      <c r="H1318" s="1104"/>
      <c r="I1318" s="1051"/>
      <c r="J1318" s="921"/>
      <c r="K1318" s="921"/>
      <c r="L1318" s="921"/>
      <c r="M1318" s="922"/>
      <c r="N1318" s="225"/>
      <c r="BE1318" s="2">
        <f>IF(I1319=BE$1301,5,IF(I1319=BE$1302,4,IF(I1319=BE$1303,3,IF(I1319=BE$1304,2,IF(I1319=BE$1305,1,0)))))</f>
        <v>0</v>
      </c>
    </row>
    <row r="1319" spans="1:63" ht="16.95" customHeight="1">
      <c r="A1319" s="224"/>
      <c r="B1319" s="1103" t="str">
        <f>BC1309</f>
        <v>Now I can better understand immigration politics' competing priorities.</v>
      </c>
      <c r="C1319" s="1103"/>
      <c r="D1319" s="1103"/>
      <c r="E1319" s="1103"/>
      <c r="F1319" s="1103"/>
      <c r="G1319" s="1103"/>
      <c r="H1319" s="1104"/>
      <c r="I1319" s="1050"/>
      <c r="J1319" s="919"/>
      <c r="K1319" s="919"/>
      <c r="L1319" s="919"/>
      <c r="M1319" s="920"/>
      <c r="N1319" s="225"/>
      <c r="BE1319" s="2">
        <f>IF(I1321=BE$1301,5,IF(I1321=BE$1302,4,IF(I1321=BE$1303,3,IF(I1321=BE$1304,2,IF(I1321=BE$1305,1,0)))))</f>
        <v>0</v>
      </c>
    </row>
    <row r="1320" spans="1:63" ht="16.95" customHeight="1" thickBot="1">
      <c r="A1320" s="224"/>
      <c r="B1320" s="1103"/>
      <c r="C1320" s="1103"/>
      <c r="D1320" s="1103"/>
      <c r="E1320" s="1103"/>
      <c r="F1320" s="1103"/>
      <c r="G1320" s="1103"/>
      <c r="H1320" s="1104"/>
      <c r="I1320" s="1051"/>
      <c r="J1320" s="921"/>
      <c r="K1320" s="921"/>
      <c r="L1320" s="921"/>
      <c r="M1320" s="922"/>
      <c r="N1320" s="225"/>
      <c r="BE1320" s="37">
        <f>SUM(BE1317:BE1319)</f>
        <v>0</v>
      </c>
    </row>
    <row r="1321" spans="1:63" ht="16.95" customHeight="1">
      <c r="A1321" s="224"/>
      <c r="B1321" s="1103" t="str">
        <f>BC1310</f>
        <v>This wording helps me let go of trusted immigration generalizations.</v>
      </c>
      <c r="C1321" s="1103"/>
      <c r="D1321" s="1103"/>
      <c r="E1321" s="1103"/>
      <c r="F1321" s="1103"/>
      <c r="G1321" s="1103"/>
      <c r="H1321" s="1104"/>
      <c r="I1321" s="1050"/>
      <c r="J1321" s="919"/>
      <c r="K1321" s="919"/>
      <c r="L1321" s="919"/>
      <c r="M1321" s="920"/>
      <c r="N1321" s="225"/>
      <c r="BE1321" s="37" t="str">
        <f>IF(AND(BE1320&gt;=BK1315,BE1320&lt;BJ1315),BK1314,IF(AND(BE1320&gt;=BJ1315,BE1320&lt;BI1315),BJ1314,IF(AND(BE1320&gt;=BI1315,BE1320&lt;BH1315),BI1314,IF(AND(BE1320&gt;=BH1315,BE1320&lt;BG1315),BH1314,IF(AND(BE1320&gt;=BG1315,BE1320&lt;=BF1315),BG1314)))))</f>
        <v>low</v>
      </c>
    </row>
    <row r="1322" spans="1:63" ht="16.95" customHeight="1" thickBot="1">
      <c r="A1322" s="224"/>
      <c r="B1322" s="1103"/>
      <c r="C1322" s="1103"/>
      <c r="D1322" s="1103"/>
      <c r="E1322" s="1103"/>
      <c r="F1322" s="1103"/>
      <c r="G1322" s="1103"/>
      <c r="H1322" s="1104"/>
      <c r="I1322" s="1051"/>
      <c r="J1322" s="921"/>
      <c r="K1322" s="921"/>
      <c r="L1322" s="921"/>
      <c r="M1322" s="922"/>
      <c r="N1322" s="225"/>
    </row>
    <row r="1323" spans="1:63" ht="10.199999999999999" customHeight="1">
      <c r="A1323" s="224"/>
      <c r="B1323" s="24"/>
      <c r="C1323" s="24"/>
      <c r="D1323" s="24"/>
      <c r="E1323" s="24"/>
      <c r="F1323" s="24"/>
      <c r="G1323" s="24"/>
      <c r="H1323" s="340"/>
      <c r="I1323" s="24"/>
      <c r="J1323" s="24"/>
      <c r="K1323" s="24"/>
      <c r="L1323" s="24"/>
      <c r="M1323" s="24"/>
      <c r="N1323" s="225"/>
      <c r="BC1323" s="2" t="str">
        <f>IF(BE1317=0,"",CONCATENATE(BE1323,BF1323,BG1323,BH1323,BI1323,BJ1323))</f>
        <v/>
      </c>
      <c r="BE1323" s="2" t="s">
        <v>1000</v>
      </c>
      <c r="BF1323" s="2" t="str">
        <f>BE1321</f>
        <v>low</v>
      </c>
      <c r="BG1323" s="2" t="s">
        <v>1007</v>
      </c>
      <c r="BH1323" s="2" t="s">
        <v>1008</v>
      </c>
      <c r="BI1323" s="2" t="str">
        <f>IF($B$1233="","",$BF$1307)</f>
        <v>immigration</v>
      </c>
      <c r="BJ1323" s="2" t="s">
        <v>1009</v>
      </c>
    </row>
    <row r="1324" spans="1:63" ht="13.95" customHeight="1">
      <c r="A1324" s="224"/>
      <c r="B1324" s="935" t="str">
        <f>BC1329</f>
        <v>Are you ready to escape the clutches of overgeneralizing immigration politics? After choosing an issue, select above how well you can agree with these radically different approaches to immigration politics. Replace being led with taking the lead.</v>
      </c>
      <c r="C1324" s="935"/>
      <c r="D1324" s="935"/>
      <c r="E1324" s="935"/>
      <c r="F1324" s="935"/>
      <c r="G1324" s="935"/>
      <c r="H1324" s="935"/>
      <c r="I1324" s="935"/>
      <c r="J1324" s="935"/>
      <c r="K1324" s="935"/>
      <c r="L1324" s="935"/>
      <c r="M1324" s="935"/>
      <c r="N1324" s="225"/>
      <c r="BC1324" s="2" t="str">
        <f>IF(BE1318=0,"",CONCATENATE(BE1324,BF1324,BG1324))</f>
        <v/>
      </c>
      <c r="BE1324" s="2" t="s">
        <v>1005</v>
      </c>
      <c r="BF1324" s="2" t="str">
        <f>IF($B$1233="","",$BF$1307)</f>
        <v>immigration</v>
      </c>
      <c r="BG1324" s="2" t="s">
        <v>1001</v>
      </c>
    </row>
    <row r="1325" spans="1:63" ht="13.95" customHeight="1">
      <c r="A1325" s="224"/>
      <c r="B1325" s="935"/>
      <c r="C1325" s="935"/>
      <c r="D1325" s="935"/>
      <c r="E1325" s="935"/>
      <c r="F1325" s="935"/>
      <c r="G1325" s="935"/>
      <c r="H1325" s="935"/>
      <c r="I1325" s="935"/>
      <c r="J1325" s="935"/>
      <c r="K1325" s="935"/>
      <c r="L1325" s="935"/>
      <c r="M1325" s="935"/>
      <c r="N1325" s="225"/>
      <c r="BC1325" s="2" t="str">
        <f>IF(BE1319=0,"",CONCATENATE(BE1325,BF1325,BG1325,BH1325,BI1325,BJ1325))</f>
        <v/>
      </c>
      <c r="BE1325" s="2" t="s">
        <v>1006</v>
      </c>
      <c r="BF1325" s="2" t="str">
        <f>IF($B$1233="","",$BF$1307)</f>
        <v>immigration</v>
      </c>
      <c r="BG1325" s="2" t="s">
        <v>1002</v>
      </c>
      <c r="BH1325" s="2" t="str">
        <f>IF($B$1233="","",$BF$1307)</f>
        <v>immigration</v>
      </c>
      <c r="BI1325" s="2" t="s">
        <v>1003</v>
      </c>
      <c r="BJ1325" s="2" t="s">
        <v>1004</v>
      </c>
    </row>
    <row r="1326" spans="1:63" ht="13.95" customHeight="1">
      <c r="A1326" s="224"/>
      <c r="B1326" s="935"/>
      <c r="C1326" s="935"/>
      <c r="D1326" s="935"/>
      <c r="E1326" s="935"/>
      <c r="F1326" s="935"/>
      <c r="G1326" s="935"/>
      <c r="H1326" s="935"/>
      <c r="I1326" s="935"/>
      <c r="J1326" s="935"/>
      <c r="K1326" s="935"/>
      <c r="L1326" s="935"/>
      <c r="M1326" s="935"/>
      <c r="N1326" s="225"/>
      <c r="BC1326" s="2" t="str">
        <f>CONCATENATE(BE1326,BF1326,BG1326,BH1326,BI1326)</f>
        <v>Are you ready to escape the clutches of overgeneralizing immigration politics? After choosing an issue, select above how well you can agree with these radically different approaches to immigration politics. Replace being led with taking the lead.</v>
      </c>
      <c r="BE1326" s="2" t="s">
        <v>1010</v>
      </c>
      <c r="BF1326" s="2" t="str">
        <f>IF($B$1233="","",$BF$1307)</f>
        <v>immigration</v>
      </c>
      <c r="BG1326" s="2" t="s">
        <v>1012</v>
      </c>
      <c r="BH1326" s="2" t="str">
        <f>IF($B$1233="","",$BF$1307)</f>
        <v>immigration</v>
      </c>
      <c r="BI1326" s="2" t="s">
        <v>1011</v>
      </c>
    </row>
    <row r="1327" spans="1:63" ht="13.95" customHeight="1">
      <c r="A1327" s="224"/>
      <c r="B1327" s="935"/>
      <c r="C1327" s="935"/>
      <c r="D1327" s="935"/>
      <c r="E1327" s="935"/>
      <c r="F1327" s="935"/>
      <c r="G1327" s="935"/>
      <c r="H1327" s="935"/>
      <c r="I1327" s="935"/>
      <c r="J1327" s="935"/>
      <c r="K1327" s="935"/>
      <c r="L1327" s="935"/>
      <c r="M1327" s="935"/>
      <c r="N1327" s="225"/>
      <c r="BC1327" s="2" t="str">
        <f>CONCATENATE(BC1323,BC1324,BC1325)</f>
        <v/>
      </c>
    </row>
    <row r="1328" spans="1:63" ht="13.95" customHeight="1">
      <c r="A1328" s="224"/>
      <c r="B1328" s="935"/>
      <c r="C1328" s="935"/>
      <c r="D1328" s="935"/>
      <c r="E1328" s="935"/>
      <c r="F1328" s="935"/>
      <c r="G1328" s="935"/>
      <c r="H1328" s="935"/>
      <c r="I1328" s="935"/>
      <c r="J1328" s="935"/>
      <c r="K1328" s="935"/>
      <c r="L1328" s="935"/>
      <c r="M1328" s="935"/>
      <c r="N1328" s="225"/>
    </row>
    <row r="1329" spans="1:69" ht="13.95" customHeight="1">
      <c r="A1329" s="224"/>
      <c r="B1329" s="935"/>
      <c r="C1329" s="935"/>
      <c r="D1329" s="935"/>
      <c r="E1329" s="935"/>
      <c r="F1329" s="935"/>
      <c r="G1329" s="935"/>
      <c r="H1329" s="935"/>
      <c r="I1329" s="935"/>
      <c r="J1329" s="935"/>
      <c r="K1329" s="935"/>
      <c r="L1329" s="935"/>
      <c r="M1329" s="935"/>
      <c r="N1329" s="225"/>
      <c r="BC1329" s="2" t="str">
        <f>IF(BE1320=0,BC1326,BC1327)</f>
        <v>Are you ready to escape the clutches of overgeneralizing immigration politics? After choosing an issue, select above how well you can agree with these radically different approaches to immigration politics. Replace being led with taking the lead.</v>
      </c>
    </row>
    <row r="1330" spans="1:69" ht="4.95" customHeight="1">
      <c r="A1330" s="226"/>
      <c r="B1330" s="231"/>
      <c r="C1330" s="231"/>
      <c r="D1330" s="231"/>
      <c r="E1330" s="231"/>
      <c r="F1330" s="231"/>
      <c r="G1330" s="231"/>
      <c r="H1330" s="342"/>
      <c r="I1330" s="231"/>
      <c r="J1330" s="231"/>
      <c r="K1330" s="231"/>
      <c r="L1330" s="231"/>
      <c r="M1330" s="231"/>
      <c r="N1330" s="228"/>
    </row>
    <row r="1331" spans="1:69" ht="30" customHeight="1">
      <c r="A1331" s="220" t="s">
        <v>1148</v>
      </c>
      <c r="B1331" s="916" t="s">
        <v>773</v>
      </c>
      <c r="C1331" s="916"/>
      <c r="D1331" s="916"/>
      <c r="E1331" s="916"/>
      <c r="F1331" s="916"/>
      <c r="G1331" s="916"/>
      <c r="H1331" s="916"/>
      <c r="I1331" s="916"/>
      <c r="J1331" s="916"/>
      <c r="K1331" s="916"/>
      <c r="L1331" s="221"/>
      <c r="M1331" s="222"/>
      <c r="N1331" s="223" t="s">
        <v>1149</v>
      </c>
    </row>
    <row r="1332" spans="1:69">
      <c r="A1332" s="224"/>
      <c r="B1332" s="24"/>
      <c r="C1332" s="24"/>
      <c r="D1332" s="24"/>
      <c r="E1332" s="24"/>
      <c r="F1332" s="24"/>
      <c r="G1332" s="24"/>
      <c r="H1332" s="340"/>
      <c r="I1332" s="24"/>
      <c r="J1332" s="24"/>
      <c r="K1332" s="24"/>
      <c r="L1332" s="24"/>
      <c r="M1332" s="24"/>
      <c r="N1332" s="225"/>
    </row>
    <row r="1333" spans="1:69">
      <c r="A1333" s="224"/>
      <c r="B1333" s="24"/>
      <c r="C1333" s="24"/>
      <c r="D1333" s="24"/>
      <c r="E1333" s="24"/>
      <c r="F1333" s="24"/>
      <c r="G1333" s="24"/>
      <c r="H1333" s="340"/>
      <c r="I1333" s="24"/>
      <c r="J1333" s="24"/>
      <c r="K1333" s="24"/>
      <c r="L1333" s="24"/>
      <c r="M1333" s="24"/>
      <c r="N1333" s="225"/>
    </row>
    <row r="1334" spans="1:69">
      <c r="A1334" s="224"/>
      <c r="B1334" s="24"/>
      <c r="C1334" s="24"/>
      <c r="D1334" s="24"/>
      <c r="E1334" s="24"/>
      <c r="F1334" s="24"/>
      <c r="G1334" s="24"/>
      <c r="H1334" s="340"/>
      <c r="I1334" s="24"/>
      <c r="J1334" s="24"/>
      <c r="K1334" s="24"/>
      <c r="L1334" s="24"/>
      <c r="M1334" s="24"/>
      <c r="N1334" s="225"/>
    </row>
    <row r="1335" spans="1:69">
      <c r="A1335" s="224"/>
      <c r="B1335" s="24"/>
      <c r="C1335" s="24"/>
      <c r="D1335" s="24"/>
      <c r="E1335" s="24"/>
      <c r="F1335" s="24"/>
      <c r="G1335" s="24"/>
      <c r="H1335" s="356" t="s">
        <v>779</v>
      </c>
      <c r="I1335" s="24"/>
      <c r="J1335" s="24"/>
      <c r="K1335" s="24"/>
      <c r="L1335" s="24"/>
      <c r="M1335" s="24"/>
      <c r="N1335" s="225"/>
    </row>
    <row r="1336" spans="1:69">
      <c r="A1336" s="224"/>
      <c r="B1336" s="24"/>
      <c r="C1336" s="24"/>
      <c r="D1336" s="24"/>
      <c r="E1336" s="24"/>
      <c r="F1336" s="24"/>
      <c r="G1336" s="24"/>
      <c r="H1336" s="340"/>
      <c r="I1336" s="24"/>
      <c r="J1336" s="24"/>
      <c r="K1336" s="24"/>
      <c r="L1336" s="24"/>
      <c r="M1336" s="24"/>
      <c r="N1336" s="225"/>
    </row>
    <row r="1337" spans="1:69">
      <c r="A1337" s="224"/>
      <c r="B1337" s="24"/>
      <c r="C1337" s="24"/>
      <c r="D1337" s="24"/>
      <c r="E1337" s="24"/>
      <c r="F1337" s="24"/>
      <c r="G1337" s="24"/>
      <c r="H1337" s="357">
        <v>1</v>
      </c>
      <c r="I1337" s="932" t="str">
        <f>IF(B$1233="",BM1337,BE1337)</f>
        <v>The less aware of other’s needs impacted by IMMIGRATION, the more you rely on constricting laws about IMMIGRATION.</v>
      </c>
      <c r="J1337" s="932"/>
      <c r="K1337" s="932"/>
      <c r="L1337" s="932"/>
      <c r="M1337" s="932"/>
      <c r="N1337" s="225"/>
      <c r="BD1337" s="2">
        <v>1</v>
      </c>
      <c r="BE1337" s="37" t="str">
        <f>CONCATENATE(BG1337,BH1337,BI1337,BJ1337,".")</f>
        <v>The less aware of other’s needs impacted by IMMIGRATION, the more you rely on constricting laws about IMMIGRATION.</v>
      </c>
      <c r="BF1337" s="47" t="s">
        <v>3</v>
      </c>
      <c r="BG1337" s="2" t="s">
        <v>790</v>
      </c>
      <c r="BH1337" s="2" t="str">
        <f>IF(OR($B$1233=0,$B$1233=""),"a politicized issue",$B$1233)</f>
        <v>IMMIGRATION</v>
      </c>
      <c r="BI1337" s="2" t="s">
        <v>780</v>
      </c>
      <c r="BJ1337" s="2" t="str">
        <f>BH1337</f>
        <v>IMMIGRATION</v>
      </c>
      <c r="BM1337" s="2" t="str">
        <f>CONCATENATE(BN1337,BO1337,BP1337,BQ1337)</f>
        <v>The less aware of other's needs impacted by a politial issue, the more you rely on constricting laws for that issue.</v>
      </c>
      <c r="BN1337" s="2" t="s">
        <v>785</v>
      </c>
      <c r="BO1337" s="2" t="s">
        <v>814</v>
      </c>
      <c r="BP1337" s="2" t="s">
        <v>807</v>
      </c>
      <c r="BQ1337" s="2" t="s">
        <v>806</v>
      </c>
    </row>
    <row r="1338" spans="1:69">
      <c r="A1338" s="224"/>
      <c r="B1338" s="24"/>
      <c r="C1338" s="24"/>
      <c r="D1338" s="24"/>
      <c r="E1338" s="24"/>
      <c r="F1338" s="24"/>
      <c r="G1338" s="24"/>
      <c r="H1338" s="340"/>
      <c r="I1338" s="932"/>
      <c r="J1338" s="932"/>
      <c r="K1338" s="932"/>
      <c r="L1338" s="932"/>
      <c r="M1338" s="932"/>
      <c r="N1338" s="225"/>
    </row>
    <row r="1339" spans="1:69">
      <c r="A1339" s="224"/>
      <c r="B1339" s="24"/>
      <c r="C1339" s="24"/>
      <c r="D1339" s="24"/>
      <c r="E1339" s="24"/>
      <c r="F1339" s="24"/>
      <c r="G1339" s="24"/>
      <c r="H1339" s="340"/>
      <c r="I1339" s="932"/>
      <c r="J1339" s="932"/>
      <c r="K1339" s="932"/>
      <c r="L1339" s="932"/>
      <c r="M1339" s="932"/>
      <c r="N1339" s="225"/>
    </row>
    <row r="1340" spans="1:69">
      <c r="A1340" s="224"/>
      <c r="B1340" s="24"/>
      <c r="C1340" s="24"/>
      <c r="D1340" s="24"/>
      <c r="E1340" s="24"/>
      <c r="F1340" s="24"/>
      <c r="G1340" s="24"/>
      <c r="H1340" s="340"/>
      <c r="I1340" s="932"/>
      <c r="J1340" s="932"/>
      <c r="K1340" s="932"/>
      <c r="L1340" s="932"/>
      <c r="M1340" s="932"/>
      <c r="N1340" s="225"/>
    </row>
    <row r="1341" spans="1:69">
      <c r="A1341" s="224"/>
      <c r="B1341" s="24"/>
      <c r="C1341" s="24"/>
      <c r="D1341" s="24"/>
      <c r="E1341" s="24"/>
      <c r="F1341" s="24"/>
      <c r="G1341" s="24"/>
      <c r="H1341" s="357">
        <v>2</v>
      </c>
      <c r="I1341" s="932" t="str">
        <f>IF(B$1233="",BM1341,BE1341)</f>
        <v>The more you rely on laws about IMMIGRATION, the less you engage others impacted by IMMIGRATION.</v>
      </c>
      <c r="J1341" s="932"/>
      <c r="K1341" s="932"/>
      <c r="L1341" s="932"/>
      <c r="M1341" s="932"/>
      <c r="N1341" s="225"/>
      <c r="BD1341" s="2">
        <v>2</v>
      </c>
      <c r="BE1341" s="37" t="str">
        <f>CONCATENATE(BG1341,BH1341,BI1341,BJ1341,BK1341,".")</f>
        <v>The more you rely on laws about IMMIGRATION, the less you engage others impacted by IMMIGRATION.</v>
      </c>
      <c r="BF1341" s="47" t="s">
        <v>3</v>
      </c>
      <c r="BG1341" s="2" t="s">
        <v>781</v>
      </c>
      <c r="BH1341" s="2" t="str">
        <f>BH1337</f>
        <v>IMMIGRATION</v>
      </c>
      <c r="BI1341" s="2" t="s">
        <v>782</v>
      </c>
      <c r="BJ1341" s="2" t="str">
        <f>BH1341</f>
        <v>IMMIGRATION</v>
      </c>
      <c r="BM1341" s="2" t="str">
        <f>CONCATENATE(BN1341,BO1341,BP1341,BQ1341)</f>
        <v>The more you rely on laws for that political issue, the less you engage others impacted by that particular issue.</v>
      </c>
      <c r="BN1341" s="2" t="s">
        <v>725</v>
      </c>
      <c r="BO1341" s="2" t="s">
        <v>808</v>
      </c>
      <c r="BP1341" s="2" t="s">
        <v>811</v>
      </c>
      <c r="BQ1341" s="2" t="s">
        <v>815</v>
      </c>
    </row>
    <row r="1342" spans="1:69">
      <c r="A1342" s="224"/>
      <c r="B1342" s="24"/>
      <c r="C1342" s="24"/>
      <c r="D1342" s="24"/>
      <c r="E1342" s="24"/>
      <c r="F1342" s="24"/>
      <c r="G1342" s="24"/>
      <c r="H1342" s="358"/>
      <c r="I1342" s="932"/>
      <c r="J1342" s="932"/>
      <c r="K1342" s="932"/>
      <c r="L1342" s="932"/>
      <c r="M1342" s="932"/>
      <c r="N1342" s="225"/>
    </row>
    <row r="1343" spans="1:69">
      <c r="A1343" s="224"/>
      <c r="B1343" s="24"/>
      <c r="C1343" s="24"/>
      <c r="D1343" s="24"/>
      <c r="E1343" s="24"/>
      <c r="F1343" s="24"/>
      <c r="G1343" s="24"/>
      <c r="H1343" s="357"/>
      <c r="I1343" s="932"/>
      <c r="J1343" s="932"/>
      <c r="K1343" s="932"/>
      <c r="L1343" s="932"/>
      <c r="M1343" s="932"/>
      <c r="N1343" s="225"/>
    </row>
    <row r="1344" spans="1:69">
      <c r="A1344" s="224"/>
      <c r="B1344" s="24"/>
      <c r="C1344" s="24"/>
      <c r="D1344" s="24"/>
      <c r="E1344" s="24"/>
      <c r="F1344" s="24"/>
      <c r="G1344" s="24"/>
      <c r="H1344" s="358"/>
      <c r="I1344" s="932"/>
      <c r="J1344" s="932"/>
      <c r="K1344" s="932"/>
      <c r="L1344" s="932"/>
      <c r="M1344" s="932"/>
      <c r="N1344" s="225"/>
    </row>
    <row r="1345" spans="1:69">
      <c r="A1345" s="224"/>
      <c r="B1345" s="24"/>
      <c r="C1345" s="24"/>
      <c r="D1345" s="24"/>
      <c r="E1345" s="24"/>
      <c r="F1345" s="24"/>
      <c r="G1345" s="24"/>
      <c r="H1345" s="357">
        <v>3</v>
      </c>
      <c r="I1345" s="932" t="str">
        <f>IF(B$1233="",BM1345,BE1345)</f>
        <v>The less you engage others impacted by IMMIGRATION, the more you alienate others when addressing IMMIGRATION.</v>
      </c>
      <c r="J1345" s="932"/>
      <c r="K1345" s="932"/>
      <c r="L1345" s="932"/>
      <c r="M1345" s="932"/>
      <c r="N1345" s="225"/>
      <c r="BD1345" s="2">
        <v>3</v>
      </c>
      <c r="BE1345" s="37" t="str">
        <f>CONCATENATE(BG1345,BH1345,BI1345,BJ1345,BK1345,".")</f>
        <v>The less you engage others impacted by IMMIGRATION, the more you alienate others when addressing IMMIGRATION.</v>
      </c>
      <c r="BF1345" s="47" t="s">
        <v>3</v>
      </c>
      <c r="BG1345" s="2" t="s">
        <v>783</v>
      </c>
      <c r="BH1345" s="2" t="str">
        <f>BH1341</f>
        <v>IMMIGRATION</v>
      </c>
      <c r="BI1345" s="2" t="s">
        <v>784</v>
      </c>
      <c r="BJ1345" s="2" t="str">
        <f>BH1345</f>
        <v>IMMIGRATION</v>
      </c>
      <c r="BM1345" s="2" t="str">
        <f>CONCATENATE(BN1345,BO1345,BP1345,BQ1345)</f>
        <v>The less you engagage others impacted by that political issue, the more you alienate others when addressing that issue.</v>
      </c>
      <c r="BN1345" s="2" t="s">
        <v>785</v>
      </c>
      <c r="BO1345" s="2" t="s">
        <v>809</v>
      </c>
      <c r="BP1345" s="2" t="s">
        <v>807</v>
      </c>
      <c r="BQ1345" s="2" t="s">
        <v>813</v>
      </c>
    </row>
    <row r="1346" spans="1:69">
      <c r="A1346" s="224"/>
      <c r="B1346" s="24"/>
      <c r="C1346" s="24"/>
      <c r="D1346" s="24"/>
      <c r="E1346" s="24"/>
      <c r="F1346" s="24"/>
      <c r="G1346" s="24"/>
      <c r="H1346" s="358"/>
      <c r="I1346" s="932"/>
      <c r="J1346" s="932"/>
      <c r="K1346" s="932"/>
      <c r="L1346" s="932"/>
      <c r="M1346" s="932"/>
      <c r="N1346" s="225"/>
    </row>
    <row r="1347" spans="1:69">
      <c r="A1347" s="224"/>
      <c r="B1347" s="24"/>
      <c r="C1347" s="24"/>
      <c r="D1347" s="24"/>
      <c r="E1347" s="24"/>
      <c r="F1347" s="24"/>
      <c r="G1347" s="24"/>
      <c r="H1347" s="357"/>
      <c r="I1347" s="932"/>
      <c r="J1347" s="932"/>
      <c r="K1347" s="932"/>
      <c r="L1347" s="932"/>
      <c r="M1347" s="932"/>
      <c r="N1347" s="225"/>
    </row>
    <row r="1348" spans="1:69">
      <c r="A1348" s="224"/>
      <c r="B1348" s="24"/>
      <c r="C1348" s="24"/>
      <c r="D1348" s="24"/>
      <c r="E1348" s="24"/>
      <c r="F1348" s="24"/>
      <c r="G1348" s="24"/>
      <c r="H1348" s="358"/>
      <c r="I1348" s="932"/>
      <c r="J1348" s="932"/>
      <c r="K1348" s="932"/>
      <c r="L1348" s="932"/>
      <c r="M1348" s="932"/>
      <c r="N1348" s="225"/>
    </row>
    <row r="1349" spans="1:69">
      <c r="A1349" s="224"/>
      <c r="B1349" s="24"/>
      <c r="C1349" s="24"/>
      <c r="D1349" s="24"/>
      <c r="E1349" s="24"/>
      <c r="F1349" s="24"/>
      <c r="G1349" s="24"/>
      <c r="H1349" s="357">
        <v>4</v>
      </c>
      <c r="I1349" s="932" t="str">
        <f>IF(B$1233="",BM1349,BE1349)</f>
        <v>The more you alienate others when addressing IMMIGRATION, the less aware of other's needs impacted by IMMIGRATION.</v>
      </c>
      <c r="J1349" s="932"/>
      <c r="K1349" s="932"/>
      <c r="L1349" s="932"/>
      <c r="M1349" s="932"/>
      <c r="N1349" s="225"/>
      <c r="BD1349" s="2">
        <v>4</v>
      </c>
      <c r="BE1349" s="37" t="str">
        <f>CONCATENATE(BG1349,BH1349,BI1349,BJ1349,BK1349,".")</f>
        <v>The more you alienate others when addressing IMMIGRATION, the less aware of other's needs impacted by IMMIGRATION.</v>
      </c>
      <c r="BF1349" s="47" t="s">
        <v>3</v>
      </c>
      <c r="BG1349" s="2" t="s">
        <v>786</v>
      </c>
      <c r="BH1349" s="2" t="str">
        <f>BH1345</f>
        <v>IMMIGRATION</v>
      </c>
      <c r="BI1349" s="2" t="s">
        <v>787</v>
      </c>
      <c r="BJ1349" s="2" t="str">
        <f>BH1349</f>
        <v>IMMIGRATION</v>
      </c>
      <c r="BM1349" s="2" t="str">
        <f>CONCATENATE(BN1349,BO1349,BP1349,BQ1349)</f>
        <v>The more you alienate others when addressing that political issue, the less aware of other's needs affected by that issue.</v>
      </c>
      <c r="BN1349" s="2" t="s">
        <v>725</v>
      </c>
      <c r="BO1349" s="2" t="s">
        <v>810</v>
      </c>
      <c r="BP1349" s="2" t="s">
        <v>811</v>
      </c>
      <c r="BQ1349" s="2" t="s">
        <v>812</v>
      </c>
    </row>
    <row r="1350" spans="1:69">
      <c r="A1350" s="224"/>
      <c r="B1350" s="24"/>
      <c r="C1350" s="24"/>
      <c r="D1350" s="24"/>
      <c r="E1350" s="24"/>
      <c r="F1350" s="24"/>
      <c r="G1350" s="24"/>
      <c r="H1350" s="358"/>
      <c r="I1350" s="932"/>
      <c r="J1350" s="932"/>
      <c r="K1350" s="932"/>
      <c r="L1350" s="932"/>
      <c r="M1350" s="932"/>
      <c r="N1350" s="225"/>
    </row>
    <row r="1351" spans="1:69">
      <c r="A1351" s="224"/>
      <c r="B1351" s="24"/>
      <c r="C1351" s="24"/>
      <c r="D1351" s="24"/>
      <c r="E1351" s="24"/>
      <c r="F1351" s="24"/>
      <c r="G1351" s="24"/>
      <c r="H1351" s="357"/>
      <c r="I1351" s="932"/>
      <c r="J1351" s="932"/>
      <c r="K1351" s="932"/>
      <c r="L1351" s="932"/>
      <c r="M1351" s="932"/>
      <c r="N1351" s="225"/>
    </row>
    <row r="1352" spans="1:69">
      <c r="A1352" s="224"/>
      <c r="B1352" s="24"/>
      <c r="C1352" s="24"/>
      <c r="D1352" s="24"/>
      <c r="E1352" s="24"/>
      <c r="F1352" s="24"/>
      <c r="G1352" s="24"/>
      <c r="H1352" s="358"/>
      <c r="I1352" s="932"/>
      <c r="J1352" s="932"/>
      <c r="K1352" s="932"/>
      <c r="L1352" s="932"/>
      <c r="M1352" s="932"/>
      <c r="N1352" s="225"/>
    </row>
    <row r="1353" spans="1:69">
      <c r="A1353" s="224"/>
      <c r="B1353" s="24"/>
      <c r="C1353" s="24"/>
      <c r="D1353" s="24"/>
      <c r="E1353" s="24"/>
      <c r="F1353" s="24"/>
      <c r="G1353" s="24"/>
      <c r="H1353" s="357">
        <v>5</v>
      </c>
      <c r="I1353" s="932" t="str">
        <f>IF(B$1233="",BM1353,BE1353)</f>
        <v>The less aware of other's IMMIGRATION impacted needs….</v>
      </c>
      <c r="J1353" s="932"/>
      <c r="K1353" s="932"/>
      <c r="L1353" s="932"/>
      <c r="M1353" s="932"/>
      <c r="N1353" s="225"/>
      <c r="BD1353" s="2">
        <v>5</v>
      </c>
      <c r="BE1353" s="37" t="str">
        <f>CONCATENATE(BG1353,BH1353,BI1353,BJ1353,".")</f>
        <v>The less aware of other's IMMIGRATION impacted needs….</v>
      </c>
      <c r="BF1353" s="47" t="s">
        <v>3</v>
      </c>
      <c r="BG1353" s="2" t="s">
        <v>788</v>
      </c>
      <c r="BH1353" s="2" t="str">
        <f>BH1349</f>
        <v>IMMIGRATION</v>
      </c>
      <c r="BI1353" s="2" t="s">
        <v>789</v>
      </c>
      <c r="BM1353" s="2" t="str">
        <f>CONCATENATE(BN1353,BO1353)</f>
        <v>The less aware of other's impacted needs by that issue…</v>
      </c>
      <c r="BN1353" s="2" t="s">
        <v>785</v>
      </c>
      <c r="BO1353" s="2" t="s">
        <v>805</v>
      </c>
    </row>
    <row r="1354" spans="1:69">
      <c r="A1354" s="224"/>
      <c r="B1354" s="24"/>
      <c r="C1354" s="24"/>
      <c r="D1354" s="24"/>
      <c r="E1354" s="24"/>
      <c r="F1354" s="24"/>
      <c r="G1354" s="24"/>
      <c r="H1354" s="358"/>
      <c r="I1354" s="932"/>
      <c r="J1354" s="932"/>
      <c r="K1354" s="932"/>
      <c r="L1354" s="932"/>
      <c r="M1354" s="932"/>
      <c r="N1354" s="225"/>
    </row>
    <row r="1355" spans="1:69">
      <c r="A1355" s="224"/>
      <c r="B1355" s="24"/>
      <c r="C1355" s="24"/>
      <c r="D1355" s="24"/>
      <c r="E1355" s="24"/>
      <c r="F1355" s="24"/>
      <c r="G1355" s="24"/>
      <c r="H1355" s="357"/>
      <c r="I1355" s="932"/>
      <c r="J1355" s="932"/>
      <c r="K1355" s="932"/>
      <c r="L1355" s="932"/>
      <c r="M1355" s="932"/>
      <c r="N1355" s="225"/>
    </row>
    <row r="1356" spans="1:69">
      <c r="A1356" s="224"/>
      <c r="B1356" s="24"/>
      <c r="C1356" s="24"/>
      <c r="D1356" s="24"/>
      <c r="E1356" s="24"/>
      <c r="F1356" s="24"/>
      <c r="G1356" s="24"/>
      <c r="H1356" s="356" t="s">
        <v>778</v>
      </c>
      <c r="I1356" s="230"/>
      <c r="J1356" s="230"/>
      <c r="K1356" s="230"/>
      <c r="L1356" s="230"/>
      <c r="M1356" s="230"/>
      <c r="N1356" s="225"/>
    </row>
    <row r="1357" spans="1:69">
      <c r="A1357" s="224"/>
      <c r="B1357" s="24"/>
      <c r="C1357" s="24"/>
      <c r="D1357" s="24"/>
      <c r="E1357" s="24"/>
      <c r="F1357" s="24"/>
      <c r="G1357" s="24"/>
      <c r="H1357" s="340"/>
      <c r="I1357" s="24"/>
      <c r="J1357" s="24"/>
      <c r="K1357" s="24"/>
      <c r="L1357" s="24"/>
      <c r="M1357" s="24"/>
      <c r="N1357" s="225"/>
    </row>
    <row r="1358" spans="1:69">
      <c r="A1358" s="224"/>
      <c r="B1358" s="24"/>
      <c r="C1358" s="24"/>
      <c r="D1358" s="24"/>
      <c r="E1358" s="24"/>
      <c r="F1358" s="24"/>
      <c r="G1358" s="24"/>
      <c r="H1358" s="357">
        <v>1</v>
      </c>
      <c r="I1358" s="932" t="str">
        <f>IF(B$1233="",BM1358,BE1358)</f>
        <v>The more aware of other’s needs impacted by IMMIGRATION, the less you rely on constricting laws about IMMIGRATION.</v>
      </c>
      <c r="J1358" s="932"/>
      <c r="K1358" s="932"/>
      <c r="L1358" s="932"/>
      <c r="M1358" s="932"/>
      <c r="N1358" s="225"/>
      <c r="BD1358" s="2">
        <v>1</v>
      </c>
      <c r="BE1358" s="37" t="str">
        <f>CONCATENATE(BG1358,BH1358,BI1358,BJ1358,".")</f>
        <v>The more aware of other’s needs impacted by IMMIGRATION, the less you rely on constricting laws about IMMIGRATION.</v>
      </c>
      <c r="BF1358" s="47" t="s">
        <v>3</v>
      </c>
      <c r="BG1358" s="2" t="s">
        <v>791</v>
      </c>
      <c r="BH1358" s="2" t="str">
        <f>BH1337</f>
        <v>IMMIGRATION</v>
      </c>
      <c r="BI1358" s="2" t="s">
        <v>792</v>
      </c>
      <c r="BJ1358" s="2" t="str">
        <f>BH1358</f>
        <v>IMMIGRATION</v>
      </c>
      <c r="BM1358" s="2" t="str">
        <f>CONCATENATE(BN1358,BO1358,BP1358,BQ1358)</f>
        <v>The more aware of other's needs impacted by a politial issue, the less you rely on constricting laws for that issue.</v>
      </c>
      <c r="BN1358" s="2" t="s">
        <v>725</v>
      </c>
      <c r="BO1358" s="2" t="s">
        <v>814</v>
      </c>
      <c r="BP1358" s="2" t="s">
        <v>811</v>
      </c>
      <c r="BQ1358" s="2" t="s">
        <v>806</v>
      </c>
    </row>
    <row r="1359" spans="1:69">
      <c r="A1359" s="224"/>
      <c r="B1359" s="24"/>
      <c r="C1359" s="24"/>
      <c r="D1359" s="24"/>
      <c r="E1359" s="24"/>
      <c r="F1359" s="24"/>
      <c r="G1359" s="24"/>
      <c r="H1359" s="340"/>
      <c r="I1359" s="932"/>
      <c r="J1359" s="932"/>
      <c r="K1359" s="932"/>
      <c r="L1359" s="932"/>
      <c r="M1359" s="932"/>
      <c r="N1359" s="225"/>
    </row>
    <row r="1360" spans="1:69">
      <c r="A1360" s="224"/>
      <c r="B1360" s="24"/>
      <c r="C1360" s="24"/>
      <c r="D1360" s="24"/>
      <c r="E1360" s="24"/>
      <c r="F1360" s="24"/>
      <c r="G1360" s="24"/>
      <c r="H1360" s="340"/>
      <c r="I1360" s="932"/>
      <c r="J1360" s="932"/>
      <c r="K1360" s="932"/>
      <c r="L1360" s="932"/>
      <c r="M1360" s="932"/>
      <c r="N1360" s="225"/>
    </row>
    <row r="1361" spans="1:69">
      <c r="A1361" s="224"/>
      <c r="B1361" s="24"/>
      <c r="C1361" s="24"/>
      <c r="D1361" s="24"/>
      <c r="E1361" s="24"/>
      <c r="F1361" s="24"/>
      <c r="G1361" s="24"/>
      <c r="H1361" s="340"/>
      <c r="I1361" s="932"/>
      <c r="J1361" s="932"/>
      <c r="K1361" s="932"/>
      <c r="L1361" s="932"/>
      <c r="M1361" s="932"/>
      <c r="N1361" s="225"/>
    </row>
    <row r="1362" spans="1:69">
      <c r="A1362" s="224"/>
      <c r="B1362" s="24"/>
      <c r="C1362" s="24"/>
      <c r="D1362" s="24"/>
      <c r="E1362" s="24"/>
      <c r="F1362" s="24"/>
      <c r="G1362" s="24"/>
      <c r="H1362" s="357">
        <v>2</v>
      </c>
      <c r="I1362" s="932" t="str">
        <f>IF(B$1233="",BM1362,BE1362)</f>
        <v>The less you rely on laws about IMMIGRATION, the more you engage others impacted by IMMIGRATION.</v>
      </c>
      <c r="J1362" s="932"/>
      <c r="K1362" s="932"/>
      <c r="L1362" s="932"/>
      <c r="M1362" s="932"/>
      <c r="N1362" s="225"/>
      <c r="BD1362" s="2">
        <v>2</v>
      </c>
      <c r="BE1362" s="37" t="str">
        <f>CONCATENATE(BG1362,BH1362,BI1362,BJ1362,BK1362,".")</f>
        <v>The less you rely on laws about IMMIGRATION, the more you engage others impacted by IMMIGRATION.</v>
      </c>
      <c r="BF1362" s="47" t="s">
        <v>3</v>
      </c>
      <c r="BG1362" s="2" t="s">
        <v>793</v>
      </c>
      <c r="BH1362" s="2" t="str">
        <f>BH1358</f>
        <v>IMMIGRATION</v>
      </c>
      <c r="BI1362" s="2" t="s">
        <v>794</v>
      </c>
      <c r="BJ1362" s="2" t="str">
        <f>BH1362</f>
        <v>IMMIGRATION</v>
      </c>
      <c r="BM1362" s="2" t="str">
        <f>CONCATENATE(BN1362,BO1362,BP1362,BQ1362)</f>
        <v>The less you rely on laws for that political issue, the more you engage others impacted by that particular issue.</v>
      </c>
      <c r="BN1362" s="2" t="s">
        <v>785</v>
      </c>
      <c r="BO1362" s="2" t="s">
        <v>808</v>
      </c>
      <c r="BP1362" s="2" t="s">
        <v>807</v>
      </c>
      <c r="BQ1362" s="2" t="s">
        <v>815</v>
      </c>
    </row>
    <row r="1363" spans="1:69">
      <c r="A1363" s="224"/>
      <c r="B1363" s="24"/>
      <c r="C1363" s="24"/>
      <c r="D1363" s="24"/>
      <c r="E1363" s="24"/>
      <c r="F1363" s="24"/>
      <c r="G1363" s="24"/>
      <c r="H1363" s="358"/>
      <c r="I1363" s="932"/>
      <c r="J1363" s="932"/>
      <c r="K1363" s="932"/>
      <c r="L1363" s="932"/>
      <c r="M1363" s="932"/>
      <c r="N1363" s="225"/>
    </row>
    <row r="1364" spans="1:69">
      <c r="A1364" s="224"/>
      <c r="B1364" s="24"/>
      <c r="C1364" s="24"/>
      <c r="D1364" s="24"/>
      <c r="E1364" s="24"/>
      <c r="F1364" s="24"/>
      <c r="G1364" s="24"/>
      <c r="H1364" s="357"/>
      <c r="I1364" s="932"/>
      <c r="J1364" s="932"/>
      <c r="K1364" s="932"/>
      <c r="L1364" s="932"/>
      <c r="M1364" s="932"/>
      <c r="N1364" s="225"/>
    </row>
    <row r="1365" spans="1:69">
      <c r="A1365" s="224"/>
      <c r="B1365" s="24"/>
      <c r="C1365" s="24"/>
      <c r="D1365" s="24"/>
      <c r="E1365" s="24"/>
      <c r="F1365" s="24"/>
      <c r="G1365" s="24"/>
      <c r="H1365" s="358"/>
      <c r="I1365" s="932"/>
      <c r="J1365" s="932"/>
      <c r="K1365" s="932"/>
      <c r="L1365" s="932"/>
      <c r="M1365" s="932"/>
      <c r="N1365" s="225"/>
    </row>
    <row r="1366" spans="1:69">
      <c r="A1366" s="224"/>
      <c r="B1366" s="24"/>
      <c r="C1366" s="24"/>
      <c r="D1366" s="24"/>
      <c r="E1366" s="24"/>
      <c r="F1366" s="24"/>
      <c r="G1366" s="24"/>
      <c r="H1366" s="357">
        <v>3</v>
      </c>
      <c r="I1366" s="932" t="str">
        <f>IF(B$1233="",BM1366,BE1366)</f>
        <v>The more you engage others impacted by IMMIGRATION, the less you alienate others when addressing IMMIGRATION.</v>
      </c>
      <c r="J1366" s="932"/>
      <c r="K1366" s="932"/>
      <c r="L1366" s="932"/>
      <c r="M1366" s="932"/>
      <c r="N1366" s="225"/>
      <c r="BD1366" s="2">
        <v>3</v>
      </c>
      <c r="BE1366" s="37" t="str">
        <f>CONCATENATE(BG1366,BH1366,BI1366,BJ1366,".")</f>
        <v>The more you engage others impacted by IMMIGRATION, the less you alienate others when addressing IMMIGRATION.</v>
      </c>
      <c r="BF1366" s="47" t="s">
        <v>3</v>
      </c>
      <c r="BG1366" s="2" t="s">
        <v>795</v>
      </c>
      <c r="BH1366" s="2" t="str">
        <f>BH1362</f>
        <v>IMMIGRATION</v>
      </c>
      <c r="BI1366" s="2" t="s">
        <v>796</v>
      </c>
      <c r="BJ1366" s="2" t="str">
        <f>BH1366</f>
        <v>IMMIGRATION</v>
      </c>
      <c r="BM1366" s="2" t="str">
        <f>CONCATENATE(BN1366,BO1366,BP1366,BQ1366)</f>
        <v>The more you engagage others impacted by that political issue, the less you alienate others when addressing that issue.</v>
      </c>
      <c r="BN1366" s="2" t="s">
        <v>725</v>
      </c>
      <c r="BO1366" s="2" t="s">
        <v>809</v>
      </c>
      <c r="BP1366" s="2" t="s">
        <v>811</v>
      </c>
      <c r="BQ1366" s="2" t="s">
        <v>813</v>
      </c>
    </row>
    <row r="1367" spans="1:69">
      <c r="A1367" s="224"/>
      <c r="B1367" s="24"/>
      <c r="C1367" s="24"/>
      <c r="D1367" s="24"/>
      <c r="E1367" s="24"/>
      <c r="F1367" s="24"/>
      <c r="G1367" s="24"/>
      <c r="H1367" s="358"/>
      <c r="I1367" s="932"/>
      <c r="J1367" s="932"/>
      <c r="K1367" s="932"/>
      <c r="L1367" s="932"/>
      <c r="M1367" s="932"/>
      <c r="N1367" s="225"/>
    </row>
    <row r="1368" spans="1:69">
      <c r="A1368" s="224"/>
      <c r="B1368" s="24"/>
      <c r="C1368" s="24"/>
      <c r="D1368" s="24"/>
      <c r="E1368" s="24"/>
      <c r="F1368" s="24"/>
      <c r="G1368" s="24"/>
      <c r="H1368" s="357"/>
      <c r="I1368" s="932"/>
      <c r="J1368" s="932"/>
      <c r="K1368" s="932"/>
      <c r="L1368" s="932"/>
      <c r="M1368" s="932"/>
      <c r="N1368" s="225"/>
    </row>
    <row r="1369" spans="1:69">
      <c r="A1369" s="224"/>
      <c r="B1369" s="24"/>
      <c r="C1369" s="24"/>
      <c r="D1369" s="24"/>
      <c r="E1369" s="24"/>
      <c r="F1369" s="24"/>
      <c r="G1369" s="24"/>
      <c r="H1369" s="358"/>
      <c r="I1369" s="932"/>
      <c r="J1369" s="932"/>
      <c r="K1369" s="932"/>
      <c r="L1369" s="932"/>
      <c r="M1369" s="932"/>
      <c r="N1369" s="225"/>
    </row>
    <row r="1370" spans="1:69" ht="13.95" customHeight="1">
      <c r="A1370" s="224"/>
      <c r="B1370" s="24"/>
      <c r="C1370" s="24"/>
      <c r="D1370" s="24"/>
      <c r="E1370" s="24"/>
      <c r="F1370" s="24"/>
      <c r="G1370" s="24"/>
      <c r="H1370" s="357">
        <v>4</v>
      </c>
      <c r="I1370" s="932" t="str">
        <f>IF(B$1233="",BM1370,BE1370)</f>
        <v>The less you alienate others when addressing IMMIGRATION, the more aware of other's needs impacted by IMMIGRATION.</v>
      </c>
      <c r="J1370" s="932"/>
      <c r="K1370" s="932"/>
      <c r="L1370" s="932"/>
      <c r="M1370" s="932"/>
      <c r="N1370" s="225"/>
      <c r="BD1370" s="2">
        <v>4</v>
      </c>
      <c r="BE1370" s="37" t="str">
        <f>CONCATENATE(BG1370,BH1370,BI1370,BJ1370,BK1370,".")</f>
        <v>The less you alienate others when addressing IMMIGRATION, the more aware of other's needs impacted by IMMIGRATION.</v>
      </c>
      <c r="BF1370" s="47" t="s">
        <v>3</v>
      </c>
      <c r="BG1370" s="2" t="s">
        <v>797</v>
      </c>
      <c r="BH1370" s="2" t="str">
        <f>BH1366</f>
        <v>IMMIGRATION</v>
      </c>
      <c r="BI1370" s="2" t="s">
        <v>798</v>
      </c>
      <c r="BJ1370" s="2" t="str">
        <f>BH1370</f>
        <v>IMMIGRATION</v>
      </c>
      <c r="BM1370" s="2" t="str">
        <f>CONCATENATE(BN1370,BO1370,BP1370,BQ1370)</f>
        <v>The less you alienate others when addressing that political issue, the more aware of other's needs affected by that issue.</v>
      </c>
      <c r="BN1370" s="2" t="s">
        <v>785</v>
      </c>
      <c r="BO1370" s="2" t="s">
        <v>810</v>
      </c>
      <c r="BP1370" s="2" t="s">
        <v>807</v>
      </c>
      <c r="BQ1370" s="2" t="s">
        <v>812</v>
      </c>
    </row>
    <row r="1371" spans="1:69">
      <c r="A1371" s="224"/>
      <c r="B1371" s="24"/>
      <c r="C1371" s="24"/>
      <c r="D1371" s="24"/>
      <c r="E1371" s="24"/>
      <c r="F1371" s="24"/>
      <c r="G1371" s="24"/>
      <c r="H1371" s="358"/>
      <c r="I1371" s="932"/>
      <c r="J1371" s="932"/>
      <c r="K1371" s="932"/>
      <c r="L1371" s="932"/>
      <c r="M1371" s="932"/>
      <c r="N1371" s="225"/>
    </row>
    <row r="1372" spans="1:69">
      <c r="A1372" s="224"/>
      <c r="B1372" s="24"/>
      <c r="C1372" s="24"/>
      <c r="D1372" s="24"/>
      <c r="E1372" s="24"/>
      <c r="F1372" s="24"/>
      <c r="G1372" s="24"/>
      <c r="H1372" s="357"/>
      <c r="I1372" s="932"/>
      <c r="J1372" s="932"/>
      <c r="K1372" s="932"/>
      <c r="L1372" s="932"/>
      <c r="M1372" s="932"/>
      <c r="N1372" s="225"/>
    </row>
    <row r="1373" spans="1:69">
      <c r="A1373" s="224"/>
      <c r="B1373" s="24"/>
      <c r="C1373" s="24"/>
      <c r="D1373" s="24"/>
      <c r="E1373" s="24"/>
      <c r="F1373" s="24"/>
      <c r="G1373" s="24"/>
      <c r="H1373" s="358"/>
      <c r="I1373" s="932"/>
      <c r="J1373" s="932"/>
      <c r="K1373" s="932"/>
      <c r="L1373" s="932"/>
      <c r="M1373" s="932"/>
      <c r="N1373" s="225"/>
    </row>
    <row r="1374" spans="1:69">
      <c r="A1374" s="224"/>
      <c r="B1374" s="24"/>
      <c r="C1374" s="24"/>
      <c r="D1374" s="24"/>
      <c r="E1374" s="24"/>
      <c r="F1374" s="24"/>
      <c r="G1374" s="24"/>
      <c r="H1374" s="357">
        <v>5</v>
      </c>
      <c r="I1374" s="932" t="str">
        <f>IF(B$1233="",BM1374,BE1374)</f>
        <v>The more aware of other's IMMIGRATION impacted needs….</v>
      </c>
      <c r="J1374" s="932"/>
      <c r="K1374" s="932"/>
      <c r="L1374" s="932"/>
      <c r="M1374" s="932"/>
      <c r="N1374" s="225"/>
      <c r="BD1374" s="2">
        <v>5</v>
      </c>
      <c r="BE1374" s="37" t="str">
        <f>CONCATENATE(BG1374,BH1374,BI1374,BJ1374,".")</f>
        <v>The more aware of other's IMMIGRATION impacted needs….</v>
      </c>
      <c r="BF1374" s="47" t="s">
        <v>3</v>
      </c>
      <c r="BG1374" s="2" t="s">
        <v>799</v>
      </c>
      <c r="BH1374" s="2" t="str">
        <f>BH1370</f>
        <v>IMMIGRATION</v>
      </c>
      <c r="BI1374" s="2" t="s">
        <v>789</v>
      </c>
      <c r="BM1374" s="2" t="str">
        <f>CONCATENATE(BN1374,BO1374)</f>
        <v>The more aware of other's impacted needs by that issue…</v>
      </c>
      <c r="BN1374" s="2" t="s">
        <v>725</v>
      </c>
      <c r="BO1374" s="2" t="s">
        <v>805</v>
      </c>
    </row>
    <row r="1375" spans="1:69" ht="13.95" customHeight="1">
      <c r="A1375" s="224"/>
      <c r="B1375" s="24"/>
      <c r="C1375" s="24"/>
      <c r="D1375" s="24"/>
      <c r="E1375" s="24"/>
      <c r="F1375" s="24"/>
      <c r="G1375" s="24"/>
      <c r="H1375" s="340"/>
      <c r="I1375" s="932"/>
      <c r="J1375" s="932"/>
      <c r="K1375" s="932"/>
      <c r="L1375" s="932"/>
      <c r="M1375" s="932"/>
      <c r="N1375" s="225"/>
    </row>
    <row r="1376" spans="1:69">
      <c r="A1376" s="224"/>
      <c r="B1376" s="24"/>
      <c r="C1376" s="24"/>
      <c r="D1376" s="24"/>
      <c r="E1376" s="24"/>
      <c r="F1376" s="24"/>
      <c r="G1376" s="24"/>
      <c r="H1376" s="340"/>
      <c r="I1376" s="932"/>
      <c r="J1376" s="932"/>
      <c r="K1376" s="932"/>
      <c r="L1376" s="932"/>
      <c r="M1376" s="932"/>
      <c r="N1376" s="225"/>
    </row>
    <row r="1377" spans="1:81">
      <c r="A1377" s="226"/>
      <c r="B1377" s="231"/>
      <c r="C1377" s="231"/>
      <c r="D1377" s="231"/>
      <c r="E1377" s="231"/>
      <c r="F1377" s="231"/>
      <c r="G1377" s="231"/>
      <c r="H1377" s="342"/>
      <c r="I1377" s="231"/>
      <c r="J1377" s="231"/>
      <c r="K1377" s="231"/>
      <c r="L1377" s="231"/>
      <c r="M1377" s="231"/>
      <c r="N1377" s="228"/>
    </row>
    <row r="1378" spans="1:81" ht="30" customHeight="1">
      <c r="A1378" s="220" t="s">
        <v>1148</v>
      </c>
      <c r="B1378" s="914" t="s">
        <v>1212</v>
      </c>
      <c r="C1378" s="914"/>
      <c r="D1378" s="914"/>
      <c r="E1378" s="914"/>
      <c r="F1378" s="914"/>
      <c r="G1378" s="914"/>
      <c r="H1378" s="914"/>
      <c r="I1378" s="914"/>
      <c r="J1378" s="914"/>
      <c r="K1378" s="914"/>
      <c r="L1378" s="914"/>
      <c r="M1378" s="182"/>
      <c r="N1378" s="232" t="s">
        <v>1149</v>
      </c>
    </row>
    <row r="1379" spans="1:81">
      <c r="A1379" s="224"/>
      <c r="B1379" s="949" t="s">
        <v>1240</v>
      </c>
      <c r="C1379" s="949"/>
      <c r="D1379" s="949"/>
      <c r="E1379" s="949"/>
      <c r="F1379" s="949"/>
      <c r="G1379" s="949"/>
      <c r="H1379" s="949"/>
      <c r="I1379" s="949"/>
      <c r="J1379" s="949"/>
      <c r="K1379" s="949"/>
      <c r="L1379" s="949"/>
      <c r="M1379" s="949"/>
      <c r="N1379" s="225"/>
    </row>
    <row r="1380" spans="1:81">
      <c r="A1380" s="224"/>
      <c r="B1380" s="949"/>
      <c r="C1380" s="949"/>
      <c r="D1380" s="949"/>
      <c r="E1380" s="949"/>
      <c r="F1380" s="949"/>
      <c r="G1380" s="949"/>
      <c r="H1380" s="949"/>
      <c r="I1380" s="949"/>
      <c r="J1380" s="949"/>
      <c r="K1380" s="949"/>
      <c r="L1380" s="949"/>
      <c r="M1380" s="949"/>
      <c r="N1380" s="225"/>
    </row>
    <row r="1381" spans="1:81">
      <c r="A1381" s="224"/>
      <c r="B1381" s="949"/>
      <c r="C1381" s="949"/>
      <c r="D1381" s="949"/>
      <c r="E1381" s="949"/>
      <c r="F1381" s="949"/>
      <c r="G1381" s="949"/>
      <c r="H1381" s="949"/>
      <c r="I1381" s="949"/>
      <c r="J1381" s="949"/>
      <c r="K1381" s="949"/>
      <c r="L1381" s="949"/>
      <c r="M1381" s="949"/>
      <c r="N1381" s="225"/>
    </row>
    <row r="1382" spans="1:81" ht="13.95" customHeight="1">
      <c r="A1382" s="224"/>
      <c r="B1382" s="917" t="s">
        <v>1241</v>
      </c>
      <c r="C1382" s="917"/>
      <c r="D1382" s="917"/>
      <c r="E1382" s="917"/>
      <c r="F1382" s="917"/>
      <c r="G1382" s="917"/>
      <c r="H1382" s="917"/>
      <c r="I1382" s="917"/>
      <c r="J1382" s="917"/>
      <c r="K1382" s="917"/>
      <c r="L1382" s="917"/>
      <c r="M1382" s="917"/>
      <c r="N1382" s="225"/>
    </row>
    <row r="1383" spans="1:81">
      <c r="A1383" s="224"/>
      <c r="B1383" s="917"/>
      <c r="C1383" s="917"/>
      <c r="D1383" s="917"/>
      <c r="E1383" s="917"/>
      <c r="F1383" s="917"/>
      <c r="G1383" s="917"/>
      <c r="H1383" s="917"/>
      <c r="I1383" s="917"/>
      <c r="J1383" s="917"/>
      <c r="K1383" s="917"/>
      <c r="L1383" s="917"/>
      <c r="M1383" s="917"/>
      <c r="N1383" s="225"/>
    </row>
    <row r="1384" spans="1:81">
      <c r="A1384" s="224"/>
      <c r="B1384" s="917"/>
      <c r="C1384" s="917"/>
      <c r="D1384" s="917"/>
      <c r="E1384" s="917"/>
      <c r="F1384" s="917"/>
      <c r="G1384" s="917"/>
      <c r="H1384" s="917"/>
      <c r="I1384" s="917"/>
      <c r="J1384" s="917"/>
      <c r="K1384" s="917"/>
      <c r="L1384" s="917"/>
      <c r="M1384" s="917"/>
      <c r="N1384" s="225"/>
    </row>
    <row r="1385" spans="1:81">
      <c r="A1385" s="224"/>
      <c r="B1385" s="917"/>
      <c r="C1385" s="917"/>
      <c r="D1385" s="917"/>
      <c r="E1385" s="917"/>
      <c r="F1385" s="917"/>
      <c r="G1385" s="917"/>
      <c r="H1385" s="917"/>
      <c r="I1385" s="917"/>
      <c r="J1385" s="917"/>
      <c r="K1385" s="917"/>
      <c r="L1385" s="917"/>
      <c r="M1385" s="917"/>
      <c r="N1385" s="225"/>
    </row>
    <row r="1386" spans="1:81">
      <c r="A1386" s="224"/>
      <c r="B1386" s="1099"/>
      <c r="C1386" s="1099"/>
      <c r="D1386" s="1099"/>
      <c r="E1386" s="1099"/>
      <c r="F1386" s="1099"/>
      <c r="G1386" s="1099"/>
      <c r="H1386" s="1099"/>
      <c r="I1386" s="1099"/>
      <c r="J1386" s="1099"/>
      <c r="K1386" s="1099"/>
      <c r="L1386" s="1099"/>
      <c r="M1386" s="1099"/>
      <c r="N1386" s="225"/>
    </row>
    <row r="1387" spans="1:81">
      <c r="A1387" s="224"/>
      <c r="B1387" s="24"/>
      <c r="C1387" s="24"/>
      <c r="D1387" s="24"/>
      <c r="E1387" s="24"/>
      <c r="F1387" s="24"/>
      <c r="G1387" s="24"/>
      <c r="H1387" s="340"/>
      <c r="I1387" s="24"/>
      <c r="J1387" s="24"/>
      <c r="K1387" s="24"/>
      <c r="L1387" s="24"/>
      <c r="M1387" s="24"/>
      <c r="N1387" s="225"/>
    </row>
    <row r="1388" spans="1:81" ht="18.600000000000001" customHeight="1">
      <c r="A1388" s="224"/>
      <c r="B1388" s="1025" t="str">
        <f>BB1389</f>
        <v>If we win for immigrants crossing the border, I will respect its impact on your border security concerns.</v>
      </c>
      <c r="C1388" s="1025"/>
      <c r="D1388" s="1025"/>
      <c r="E1388" s="1025"/>
      <c r="F1388" s="1025"/>
      <c r="G1388" s="24"/>
      <c r="H1388" s="340"/>
      <c r="I1388" s="1094" t="str">
        <f>BB1391</f>
        <v>If we win at border security, I will respect its impact on the immigrants you care about crossing the border.</v>
      </c>
      <c r="J1388" s="1094"/>
      <c r="K1388" s="1094"/>
      <c r="L1388" s="1094"/>
      <c r="M1388" s="1094"/>
      <c r="N1388" s="225"/>
      <c r="BE1388" s="49" t="str">
        <f t="shared" ref="BE1388:BL1388" si="21">BE1293</f>
        <v>IMM</v>
      </c>
      <c r="BF1388" s="49" t="str">
        <f t="shared" si="21"/>
        <v>CLI</v>
      </c>
      <c r="BG1388" s="49" t="str">
        <f t="shared" si="21"/>
        <v>GUN</v>
      </c>
      <c r="BH1388" s="49" t="str">
        <f t="shared" si="21"/>
        <v>ABO</v>
      </c>
      <c r="BI1388" s="49" t="str">
        <f t="shared" si="21"/>
        <v>HEA</v>
      </c>
      <c r="BJ1388" s="49" t="str">
        <f t="shared" si="21"/>
        <v>CRI</v>
      </c>
      <c r="BK1388" s="49" t="str">
        <f t="shared" si="21"/>
        <v>ECO</v>
      </c>
      <c r="BL1388" s="49" t="str">
        <f t="shared" si="21"/>
        <v>RAC</v>
      </c>
      <c r="BM1388" s="47" t="s">
        <v>3</v>
      </c>
    </row>
    <row r="1389" spans="1:81" ht="13.95" customHeight="1">
      <c r="A1389" s="224"/>
      <c r="B1389" s="1025"/>
      <c r="C1389" s="1025"/>
      <c r="D1389" s="1025"/>
      <c r="E1389" s="1025"/>
      <c r="F1389" s="1025"/>
      <c r="G1389" s="24"/>
      <c r="H1389" s="340"/>
      <c r="I1389" s="1094"/>
      <c r="J1389" s="1094"/>
      <c r="K1389" s="1094"/>
      <c r="L1389" s="1094"/>
      <c r="M1389" s="1094"/>
      <c r="N1389" s="225"/>
      <c r="BB1389" s="2" t="str">
        <f>IF($C$1047=BB$1047,BE1389,IF($C$1047=BB$1048,BF1389,IF($C$1047=BB$1049,BG1389,IF($C$1047=BB$1050,BH1389,IF($C$1047=BB$1051,BI1389,IF($C$1047=BB$1052,BJ1389,IF($C$1047=BB$1053,BK1389,IF($C$1047=BB$1054,BL1389,""))))))))</f>
        <v>If we win for immigrants crossing the border, I will respect its impact on your border security concerns.</v>
      </c>
      <c r="BD1389" s="131" t="s">
        <v>602</v>
      </c>
      <c r="BE1389" s="2" t="str">
        <f>CONCATENATE(BV1389,BV1390,BV1391,BV1392)</f>
        <v>If we win for immigrants crossing the border, I will respect its impact on your border security concerns.</v>
      </c>
      <c r="BF1389" s="2" t="str">
        <f>CONCATENATE(BW1389,BW1390,BW1391,BW1392)</f>
        <v>If we win with environmental controls, I will respect how they impact your strenuously regulated life.</v>
      </c>
      <c r="BG1389" s="2" t="str">
        <f>CONCATENATE(BX1389,BX1390,BX1391,BX1392)</f>
        <v>If we win strengthen gun control, I will respect its impact on your right and need to arm yourself.</v>
      </c>
      <c r="BH1389" s="2" t="str">
        <f>CONCATENATE(BY1389,BY1390,BY1391,BY1392)</f>
        <v>If we win reproductive rights, I will respect its impact on your need to give voice to the unborn.</v>
      </c>
      <c r="BI1389" s="2" t="s">
        <v>842</v>
      </c>
      <c r="BJ1389" s="2" t="s">
        <v>892</v>
      </c>
      <c r="BK1389" s="2" t="s">
        <v>847</v>
      </c>
      <c r="BL1389" s="2" t="s">
        <v>893</v>
      </c>
      <c r="BM1389" s="47" t="s">
        <v>3</v>
      </c>
      <c r="BN1389" s="2" t="s">
        <v>855</v>
      </c>
      <c r="BU1389" s="131" t="s">
        <v>602</v>
      </c>
      <c r="BV1389" s="2" t="s">
        <v>857</v>
      </c>
      <c r="BW1389" s="2" t="s">
        <v>857</v>
      </c>
      <c r="BX1389" s="2" t="s">
        <v>857</v>
      </c>
      <c r="BY1389" s="2" t="s">
        <v>857</v>
      </c>
      <c r="BZ1389" s="2" t="s">
        <v>857</v>
      </c>
      <c r="CA1389" s="2" t="s">
        <v>857</v>
      </c>
      <c r="CB1389" s="2" t="s">
        <v>857</v>
      </c>
      <c r="CC1389" s="2" t="s">
        <v>857</v>
      </c>
    </row>
    <row r="1390" spans="1:81" ht="13.95" customHeight="1">
      <c r="A1390" s="224"/>
      <c r="B1390" s="1025"/>
      <c r="C1390" s="1025"/>
      <c r="D1390" s="1025"/>
      <c r="E1390" s="1025"/>
      <c r="F1390" s="1025"/>
      <c r="G1390" s="24"/>
      <c r="H1390" s="340"/>
      <c r="I1390" s="1094"/>
      <c r="J1390" s="1094"/>
      <c r="K1390" s="1094"/>
      <c r="L1390" s="1094"/>
      <c r="M1390" s="1094"/>
      <c r="N1390" s="225"/>
      <c r="BB1390" s="2" t="str">
        <f>IF($C$1047=BB$1047,BE1390,IF($C$1047=BB$1048,BF1390,IF($C$1047=BB$1049,BG1390,IF($C$1047=BB$1050,BH1390,IF($C$1047=BB$1051,BI1390,IF($C$1047=BB$1052,BJ1390,IF($C$1047=BB$1053,BK1390,IF($C$1047=BB$1054,BL1390,""))))))))</f>
        <v>If we lose immigrant rights, I will expect you to appreciate how devastating this can be to our impacted families and communities.</v>
      </c>
      <c r="BD1390" s="131" t="s">
        <v>603</v>
      </c>
      <c r="BE1390" s="2" t="str">
        <f>CONCATENATE(BV1393,BV1394,BV1395,BV1396)</f>
        <v>If we lose immigrant rights, I will expect you to appreciate how devastating this can be to our impacted families and communities.</v>
      </c>
      <c r="BF1390" s="2" t="str">
        <f>CONCATENATE(BW1393,BW1394,BW1395,BW1396)</f>
        <v>If we fail to stem climate change, I will expect you to appreciate the alarming impact on our affected habitats.</v>
      </c>
      <c r="BG1390" s="2" t="str">
        <f>CONCATENATE(BX1393,BX1394,BX1395,BX1396)</f>
        <v>If we lose gun control, I will expect you to appreciate my fears of gun violence with each mass shooting.</v>
      </c>
      <c r="BH1390" s="2" t="str">
        <f>CONCATENATE(BY1393,BY1394,BY1395,BY1396)</f>
        <v>If we lose reproductive rights, I will expect you to appreciate its impact on our reproductive health needs.</v>
      </c>
      <c r="BI1390" s="2" t="s">
        <v>891</v>
      </c>
      <c r="BJ1390" s="2" t="s">
        <v>845</v>
      </c>
      <c r="BK1390" s="2" t="s">
        <v>848</v>
      </c>
      <c r="BL1390" s="2" t="s">
        <v>852</v>
      </c>
      <c r="BM1390" s="47" t="s">
        <v>3</v>
      </c>
      <c r="BN1390" s="2" t="s">
        <v>856</v>
      </c>
      <c r="BV1390" s="2" t="s">
        <v>861</v>
      </c>
      <c r="BW1390" s="2" t="s">
        <v>868</v>
      </c>
      <c r="BX1390" s="2" t="s">
        <v>876</v>
      </c>
      <c r="BY1390" s="2" t="s">
        <v>882</v>
      </c>
    </row>
    <row r="1391" spans="1:81" ht="13.95" customHeight="1">
      <c r="A1391" s="224"/>
      <c r="B1391" s="1025"/>
      <c r="C1391" s="1025"/>
      <c r="D1391" s="1025"/>
      <c r="E1391" s="1025"/>
      <c r="F1391" s="1025"/>
      <c r="G1391" s="24"/>
      <c r="H1391" s="340"/>
      <c r="I1391" s="1094"/>
      <c r="J1391" s="1094"/>
      <c r="K1391" s="1094"/>
      <c r="L1391" s="1094"/>
      <c r="M1391" s="1094"/>
      <c r="N1391" s="225"/>
      <c r="BB1391" s="2" t="str">
        <f>IF($C$1047=BB$1047,BE1391,IF($C$1047=BB$1048,BF1391,IF($C$1047=BB$1049,BG1391,IF($C$1047=BB$1050,BH1391,IF($C$1047=BB$1051,BI1391,IF($C$1047=BB$1052,BJ1391,IF($C$1047=BB$1053,BK1391,IF($C$1047=BB$1054,BL1391,""))))))))</f>
        <v>If we win at border security, I will respect its impact on the immigrants you care about crossing the border.</v>
      </c>
      <c r="BD1391" s="131" t="s">
        <v>604</v>
      </c>
      <c r="BE1391" s="2" t="str">
        <f>CONCATENATE(BV1397,BV1398,BV1399,BV1400)</f>
        <v>If we win at border security, I will respect its impact on the immigrants you care about crossing the border.</v>
      </c>
      <c r="BF1391" s="2" t="str">
        <f>CONCATENATE(BW1397,BW1398,BW1399,BW1400)</f>
        <v>If we allow nature to correct itself, I will respect how my deregulated business could impact you.</v>
      </c>
      <c r="BG1391" s="2" t="str">
        <f>CONCATENATE(BX1397,BX1398,BX1399,BX1400)</f>
        <v>If we win to counter gun control, I will respect your trauma from various forms of gun violence.</v>
      </c>
      <c r="BH1391" s="2" t="str">
        <f>CONCATENATE(BY1397,BY1398,BY1399,BY1400)</f>
        <v xml:space="preserve">If we win rights for the unborn, I will respect its impact on your reproductive health needs. </v>
      </c>
      <c r="BI1391" s="2" t="s">
        <v>843</v>
      </c>
      <c r="BJ1391" s="2" t="s">
        <v>851</v>
      </c>
      <c r="BK1391" s="2" t="s">
        <v>849</v>
      </c>
      <c r="BL1391" s="2" t="s">
        <v>853</v>
      </c>
      <c r="BM1391" s="47" t="s">
        <v>3</v>
      </c>
      <c r="BN1391" s="2" t="s">
        <v>855</v>
      </c>
      <c r="BV1391" s="2" t="s">
        <v>858</v>
      </c>
      <c r="BW1391" s="2" t="s">
        <v>858</v>
      </c>
      <c r="BX1391" s="2" t="s">
        <v>858</v>
      </c>
      <c r="BY1391" s="2" t="s">
        <v>858</v>
      </c>
      <c r="BZ1391" s="2" t="s">
        <v>858</v>
      </c>
      <c r="CA1391" s="2" t="s">
        <v>858</v>
      </c>
      <c r="CB1391" s="2" t="s">
        <v>858</v>
      </c>
      <c r="CC1391" s="2" t="s">
        <v>858</v>
      </c>
    </row>
    <row r="1392" spans="1:81" ht="15" customHeight="1">
      <c r="A1392" s="224"/>
      <c r="B1392" s="1025"/>
      <c r="C1392" s="1025"/>
      <c r="D1392" s="1025"/>
      <c r="E1392" s="1025"/>
      <c r="F1392" s="1025"/>
      <c r="G1392" s="24"/>
      <c r="H1392" s="340"/>
      <c r="I1392" s="1094"/>
      <c r="J1392" s="1094"/>
      <c r="K1392" s="1094"/>
      <c r="L1392" s="1094"/>
      <c r="M1392" s="1094"/>
      <c r="N1392" s="225"/>
      <c r="BB1392" s="2" t="str">
        <f>IF($C$1047=BB$1047,BE1392,IF($C$1047=BB$1048,BF1392,IF($C$1047=BB$1049,BG1392,IF($C$1047=BB$1050,BH1392,IF($C$1047=BB$1051,BI1392,IF($C$1047=BB$1052,BJ1392,IF($C$1047=BB$1053,BK1392,IF($C$1047=BB$1054,BL1392,""))))))))</f>
        <v>If we lose border security, I will expect you to appreciate how devastating this can be to our impacted families and communities.</v>
      </c>
      <c r="BD1392" s="131" t="s">
        <v>605</v>
      </c>
      <c r="BE1392" s="2" t="str">
        <f>CONCATENATE(BV1401,BV1402,BV1403,BV1404)</f>
        <v>If we lose border security, I will expect you to appreciate how devastating this can be to our impacted families and communities.</v>
      </c>
      <c r="BF1392" s="2" t="str">
        <f>CONCATENATE(BW1401,BW1402,BW1403,BW1404)</f>
        <v>If subjected further to onereous regulations, I will expect you to appreciate my reduced capacity to provide for you.</v>
      </c>
      <c r="BG1392" s="2" t="str">
        <f>CONCATENATE(BX1401,BX1402,BX1403,BX1404)</f>
        <v>If we lose gun rights, I will expect you to appreciate its impact on my right and need to arm myself.</v>
      </c>
      <c r="BH1392" s="2" t="str">
        <f>CONCATENATE(BY1401,BY1402,BY1403,BY1404)</f>
        <v>If we lose rights for the unborn, I will expect you to appreciate its impact on the voiceless unborn.</v>
      </c>
      <c r="BI1392" s="2" t="s">
        <v>844</v>
      </c>
      <c r="BJ1392" s="2" t="s">
        <v>846</v>
      </c>
      <c r="BK1392" s="2" t="s">
        <v>854</v>
      </c>
      <c r="BL1392" s="2" t="s">
        <v>894</v>
      </c>
      <c r="BM1392" s="47" t="s">
        <v>3</v>
      </c>
      <c r="BN1392" s="2" t="s">
        <v>856</v>
      </c>
      <c r="BV1392" s="2" t="s">
        <v>862</v>
      </c>
      <c r="BW1392" s="2" t="s">
        <v>869</v>
      </c>
      <c r="BX1392" s="2" t="s">
        <v>877</v>
      </c>
      <c r="BY1392" s="2" t="s">
        <v>883</v>
      </c>
    </row>
    <row r="1393" spans="1:81" ht="13.95" customHeight="1">
      <c r="A1393" s="224"/>
      <c r="B1393" s="1025"/>
      <c r="C1393" s="1025"/>
      <c r="D1393" s="1025"/>
      <c r="E1393" s="1025"/>
      <c r="F1393" s="1025"/>
      <c r="G1393" s="24"/>
      <c r="H1393" s="340"/>
      <c r="I1393" s="1094"/>
      <c r="J1393" s="1094"/>
      <c r="K1393" s="1094"/>
      <c r="L1393" s="1094"/>
      <c r="M1393" s="1094"/>
      <c r="N1393" s="225"/>
      <c r="BU1393" s="131" t="s">
        <v>603</v>
      </c>
      <c r="BV1393" s="2" t="s">
        <v>860</v>
      </c>
      <c r="BW1393" s="2" t="s">
        <v>860</v>
      </c>
      <c r="BX1393" s="2" t="s">
        <v>860</v>
      </c>
      <c r="BY1393" s="2" t="s">
        <v>860</v>
      </c>
      <c r="BZ1393" s="2" t="s">
        <v>860</v>
      </c>
      <c r="CA1393" s="2" t="s">
        <v>860</v>
      </c>
      <c r="CB1393" s="2" t="s">
        <v>860</v>
      </c>
      <c r="CC1393" s="2" t="s">
        <v>860</v>
      </c>
    </row>
    <row r="1394" spans="1:81" ht="13.95" customHeight="1">
      <c r="A1394" s="224"/>
      <c r="B1394" s="1025"/>
      <c r="C1394" s="1025"/>
      <c r="D1394" s="1025"/>
      <c r="E1394" s="1025"/>
      <c r="F1394" s="1025"/>
      <c r="G1394" s="24"/>
      <c r="H1394" s="340"/>
      <c r="I1394" s="1094"/>
      <c r="J1394" s="1094"/>
      <c r="K1394" s="1094"/>
      <c r="L1394" s="1094"/>
      <c r="M1394" s="1094"/>
      <c r="N1394" s="225"/>
      <c r="BV1394" s="2" t="s">
        <v>863</v>
      </c>
      <c r="BW1394" s="2" t="s">
        <v>870</v>
      </c>
      <c r="BX1394" s="2" t="s">
        <v>878</v>
      </c>
      <c r="BY1394" s="2" t="s">
        <v>884</v>
      </c>
    </row>
    <row r="1395" spans="1:81" ht="13.95" customHeight="1">
      <c r="A1395" s="224"/>
      <c r="B1395" s="1025"/>
      <c r="C1395" s="1025"/>
      <c r="D1395" s="1025"/>
      <c r="E1395" s="1025"/>
      <c r="F1395" s="1025"/>
      <c r="G1395" s="24"/>
      <c r="H1395" s="340"/>
      <c r="I1395" s="1094"/>
      <c r="J1395" s="1094"/>
      <c r="K1395" s="1094"/>
      <c r="L1395" s="1094"/>
      <c r="M1395" s="1094"/>
      <c r="N1395" s="225"/>
      <c r="BV1395" s="2" t="s">
        <v>859</v>
      </c>
      <c r="BW1395" s="2" t="s">
        <v>859</v>
      </c>
      <c r="BX1395" s="2" t="s">
        <v>859</v>
      </c>
      <c r="BY1395" s="2" t="s">
        <v>859</v>
      </c>
      <c r="BZ1395" s="2" t="s">
        <v>859</v>
      </c>
      <c r="CA1395" s="2" t="s">
        <v>859</v>
      </c>
      <c r="CB1395" s="2" t="s">
        <v>859</v>
      </c>
      <c r="CC1395" s="2" t="s">
        <v>859</v>
      </c>
    </row>
    <row r="1396" spans="1:81" ht="14.4" customHeight="1">
      <c r="A1396" s="224"/>
      <c r="B1396" s="24"/>
      <c r="C1396" s="24"/>
      <c r="D1396" s="24"/>
      <c r="E1396" s="24"/>
      <c r="F1396" s="24"/>
      <c r="G1396" s="1095" t="s">
        <v>553</v>
      </c>
      <c r="H1396" s="1096" t="s">
        <v>552</v>
      </c>
      <c r="I1396" s="24"/>
      <c r="J1396" s="24"/>
      <c r="K1396" s="24"/>
      <c r="L1396" s="24"/>
      <c r="M1396" s="24"/>
      <c r="N1396" s="225"/>
      <c r="BE1396" s="159" t="s">
        <v>985</v>
      </c>
      <c r="BV1396" s="2" t="s">
        <v>864</v>
      </c>
      <c r="BW1396" s="2" t="s">
        <v>871</v>
      </c>
      <c r="BX1396" s="2" t="s">
        <v>879</v>
      </c>
      <c r="BY1396" s="2" t="s">
        <v>885</v>
      </c>
    </row>
    <row r="1397" spans="1:81" ht="14.4" customHeight="1">
      <c r="A1397" s="224"/>
      <c r="B1397" s="24"/>
      <c r="C1397" s="24"/>
      <c r="D1397" s="24"/>
      <c r="E1397" s="24"/>
      <c r="F1397" s="24"/>
      <c r="G1397" s="1095"/>
      <c r="H1397" s="1096"/>
      <c r="I1397" s="24"/>
      <c r="J1397" s="24"/>
      <c r="K1397" s="24"/>
      <c r="L1397" s="24"/>
      <c r="M1397" s="24"/>
      <c r="N1397" s="225"/>
      <c r="BE1397" s="159" t="s">
        <v>986</v>
      </c>
      <c r="BU1397" s="131" t="s">
        <v>604</v>
      </c>
      <c r="BV1397" s="2" t="s">
        <v>857</v>
      </c>
      <c r="BW1397" s="2" t="s">
        <v>860</v>
      </c>
      <c r="BX1397" s="2" t="s">
        <v>857</v>
      </c>
      <c r="BY1397" s="2" t="s">
        <v>857</v>
      </c>
      <c r="BZ1397" s="2" t="s">
        <v>857</v>
      </c>
      <c r="CA1397" s="2" t="s">
        <v>857</v>
      </c>
      <c r="CB1397" s="2" t="s">
        <v>857</v>
      </c>
      <c r="CC1397" s="2" t="s">
        <v>857</v>
      </c>
    </row>
    <row r="1398" spans="1:81" ht="13.95" customHeight="1">
      <c r="A1398" s="224"/>
      <c r="B1398" s="24"/>
      <c r="C1398" s="24"/>
      <c r="D1398" s="24"/>
      <c r="E1398" s="24"/>
      <c r="F1398" s="24"/>
      <c r="G1398" s="1095"/>
      <c r="H1398" s="1096"/>
      <c r="I1398" s="24"/>
      <c r="J1398" s="24"/>
      <c r="K1398" s="24"/>
      <c r="L1398" s="24"/>
      <c r="M1398" s="24"/>
      <c r="N1398" s="225"/>
      <c r="BE1398" s="159" t="s">
        <v>984</v>
      </c>
      <c r="BV1398" s="2" t="s">
        <v>865</v>
      </c>
      <c r="BW1398" s="2" t="s">
        <v>872</v>
      </c>
      <c r="BX1398" s="2" t="s">
        <v>914</v>
      </c>
      <c r="BY1398" s="2" t="s">
        <v>886</v>
      </c>
    </row>
    <row r="1399" spans="1:81" ht="13.95" customHeight="1">
      <c r="A1399" s="224"/>
      <c r="B1399" s="24"/>
      <c r="C1399" s="24"/>
      <c r="D1399" s="24"/>
      <c r="E1399" s="24"/>
      <c r="F1399" s="24"/>
      <c r="G1399" s="1095"/>
      <c r="H1399" s="1096"/>
      <c r="I1399" s="24"/>
      <c r="J1399" s="24"/>
      <c r="K1399" s="24"/>
      <c r="L1399" s="24"/>
      <c r="M1399" s="24"/>
      <c r="N1399" s="225"/>
      <c r="BE1399" s="159" t="s">
        <v>987</v>
      </c>
      <c r="BV1399" s="2" t="s">
        <v>858</v>
      </c>
      <c r="BW1399" s="2" t="s">
        <v>858</v>
      </c>
      <c r="BX1399" s="2" t="s">
        <v>858</v>
      </c>
      <c r="BY1399" s="2" t="s">
        <v>858</v>
      </c>
      <c r="BZ1399" s="2" t="s">
        <v>858</v>
      </c>
      <c r="CA1399" s="2" t="s">
        <v>858</v>
      </c>
      <c r="CB1399" s="2" t="s">
        <v>858</v>
      </c>
      <c r="CC1399" s="2" t="s">
        <v>858</v>
      </c>
    </row>
    <row r="1400" spans="1:81" ht="13.95" customHeight="1">
      <c r="A1400" s="224"/>
      <c r="B1400" s="24"/>
      <c r="C1400" s="24"/>
      <c r="D1400" s="24"/>
      <c r="E1400" s="24"/>
      <c r="F1400" s="24"/>
      <c r="G1400" s="1095"/>
      <c r="H1400" s="1096"/>
      <c r="I1400" s="24"/>
      <c r="J1400" s="24"/>
      <c r="K1400" s="24"/>
      <c r="L1400" s="24"/>
      <c r="M1400" s="24"/>
      <c r="N1400" s="225"/>
      <c r="BE1400" s="159" t="s">
        <v>988</v>
      </c>
      <c r="BV1400" s="2" t="s">
        <v>866</v>
      </c>
      <c r="BW1400" s="2" t="s">
        <v>873</v>
      </c>
      <c r="BX1400" s="2" t="s">
        <v>890</v>
      </c>
      <c r="BY1400" s="2" t="s">
        <v>887</v>
      </c>
    </row>
    <row r="1401" spans="1:81" ht="13.95" customHeight="1">
      <c r="A1401" s="224"/>
      <c r="B1401" s="1025" t="str">
        <f>BB1390</f>
        <v>If we lose immigrant rights, I will expect you to appreciate how devastating this can be to our impacted families and communities.</v>
      </c>
      <c r="C1401" s="1025"/>
      <c r="D1401" s="1025"/>
      <c r="E1401" s="1025"/>
      <c r="F1401" s="1025"/>
      <c r="G1401" s="24"/>
      <c r="H1401" s="340"/>
      <c r="I1401" s="1094" t="str">
        <f>BB1392</f>
        <v>If we lose border security, I will expect you to appreciate how devastating this can be to our impacted families and communities.</v>
      </c>
      <c r="J1401" s="1094"/>
      <c r="K1401" s="1094"/>
      <c r="L1401" s="1094"/>
      <c r="M1401" s="1094"/>
      <c r="N1401" s="225"/>
      <c r="BU1401" s="131" t="s">
        <v>605</v>
      </c>
      <c r="BV1401" s="2" t="s">
        <v>860</v>
      </c>
      <c r="BW1401" s="2" t="s">
        <v>850</v>
      </c>
      <c r="BX1401" s="2" t="s">
        <v>860</v>
      </c>
      <c r="BY1401" s="2" t="s">
        <v>860</v>
      </c>
      <c r="BZ1401" s="2" t="s">
        <v>860</v>
      </c>
      <c r="CA1401" s="2" t="s">
        <v>860</v>
      </c>
      <c r="CB1401" s="2" t="s">
        <v>860</v>
      </c>
      <c r="CC1401" s="2" t="s">
        <v>860</v>
      </c>
    </row>
    <row r="1402" spans="1:81" ht="13.95" customHeight="1">
      <c r="A1402" s="224"/>
      <c r="B1402" s="1025"/>
      <c r="C1402" s="1025"/>
      <c r="D1402" s="1025"/>
      <c r="E1402" s="1025"/>
      <c r="F1402" s="1025"/>
      <c r="G1402" s="24"/>
      <c r="H1402" s="340"/>
      <c r="I1402" s="1094"/>
      <c r="J1402" s="1094"/>
      <c r="K1402" s="1094"/>
      <c r="L1402" s="1094"/>
      <c r="M1402" s="1094"/>
      <c r="N1402" s="225"/>
      <c r="BF1402" s="37" t="str">
        <f>BF1307</f>
        <v>immigration</v>
      </c>
      <c r="BV1402" s="2" t="s">
        <v>867</v>
      </c>
      <c r="BW1402" s="2" t="s">
        <v>874</v>
      </c>
      <c r="BX1402" s="2" t="s">
        <v>880</v>
      </c>
      <c r="BY1402" s="2" t="s">
        <v>888</v>
      </c>
    </row>
    <row r="1403" spans="1:81" ht="13.95" customHeight="1">
      <c r="A1403" s="224"/>
      <c r="B1403" s="1025"/>
      <c r="C1403" s="1025"/>
      <c r="D1403" s="1025"/>
      <c r="E1403" s="1025"/>
      <c r="F1403" s="1025"/>
      <c r="G1403" s="24"/>
      <c r="H1403" s="340"/>
      <c r="I1403" s="1094"/>
      <c r="J1403" s="1094"/>
      <c r="K1403" s="1094"/>
      <c r="L1403" s="1094"/>
      <c r="M1403" s="1094"/>
      <c r="N1403" s="225"/>
      <c r="BC1403" s="2" t="str">
        <f>IF(OR(B$1233=0,B$1233=""),"",CONCATENATE(BE1403,BF1403,BG1403))</f>
        <v>This wording helps me engage with the opposing side of immigration politics.</v>
      </c>
      <c r="BE1403" s="2" t="s">
        <v>1013</v>
      </c>
      <c r="BF1403" s="2" t="str">
        <f>BF1402</f>
        <v>immigration</v>
      </c>
      <c r="BG1403" s="2" t="s">
        <v>979</v>
      </c>
      <c r="BV1403" s="2" t="s">
        <v>859</v>
      </c>
      <c r="BW1403" s="2" t="s">
        <v>859</v>
      </c>
      <c r="BX1403" s="2" t="s">
        <v>859</v>
      </c>
      <c r="BY1403" s="2" t="s">
        <v>859</v>
      </c>
      <c r="BZ1403" s="2" t="s">
        <v>859</v>
      </c>
      <c r="CA1403" s="2" t="s">
        <v>859</v>
      </c>
      <c r="CB1403" s="2" t="s">
        <v>859</v>
      </c>
      <c r="CC1403" s="2" t="s">
        <v>859</v>
      </c>
    </row>
    <row r="1404" spans="1:81" ht="13.95" customHeight="1">
      <c r="A1404" s="224"/>
      <c r="B1404" s="1025"/>
      <c r="C1404" s="1025"/>
      <c r="D1404" s="1025"/>
      <c r="E1404" s="1025"/>
      <c r="F1404" s="1025"/>
      <c r="G1404" s="24"/>
      <c r="H1404" s="340"/>
      <c r="I1404" s="1094"/>
      <c r="J1404" s="1094"/>
      <c r="K1404" s="1094"/>
      <c r="L1404" s="1094"/>
      <c r="M1404" s="1094"/>
      <c r="N1404" s="225"/>
      <c r="BC1404" s="2" t="str">
        <f>IF(OR(B$1233=0,B$1233=""),"",CONCATENATE(BE1404,BF1404,BG1404))</f>
        <v>Now I can be less dependent on laws requiring my response to immigration-related needs.</v>
      </c>
      <c r="BE1404" s="2" t="s">
        <v>1019</v>
      </c>
      <c r="BF1404" s="2" t="str">
        <f>BF1403</f>
        <v>immigration</v>
      </c>
      <c r="BG1404" s="47" t="s">
        <v>1018</v>
      </c>
      <c r="BV1404" s="2" t="s">
        <v>864</v>
      </c>
      <c r="BW1404" s="2" t="s">
        <v>875</v>
      </c>
      <c r="BX1404" s="2" t="s">
        <v>881</v>
      </c>
      <c r="BY1404" s="2" t="s">
        <v>889</v>
      </c>
    </row>
    <row r="1405" spans="1:81" ht="13.95" customHeight="1">
      <c r="A1405" s="224"/>
      <c r="B1405" s="1025"/>
      <c r="C1405" s="1025"/>
      <c r="D1405" s="1025"/>
      <c r="E1405" s="1025"/>
      <c r="F1405" s="1025"/>
      <c r="G1405" s="24"/>
      <c r="H1405" s="340"/>
      <c r="I1405" s="1094"/>
      <c r="J1405" s="1094"/>
      <c r="K1405" s="1094"/>
      <c r="L1405" s="1094"/>
      <c r="M1405" s="1094"/>
      <c r="N1405" s="225"/>
      <c r="BC1405" s="2" t="str">
        <f>IF(OR(B$1233=0,B$1233=""),"",CONCATENATE(BE1405,BF1405,BG1405))</f>
        <v>I can now better handle losing at immigration politics.</v>
      </c>
      <c r="BE1405" s="2" t="s">
        <v>1017</v>
      </c>
      <c r="BF1405" s="2" t="str">
        <f>BF1404</f>
        <v>immigration</v>
      </c>
      <c r="BG1405" s="2" t="s">
        <v>979</v>
      </c>
    </row>
    <row r="1406" spans="1:81" ht="13.95" customHeight="1">
      <c r="A1406" s="224"/>
      <c r="B1406" s="1025"/>
      <c r="C1406" s="1025"/>
      <c r="D1406" s="1025"/>
      <c r="E1406" s="1025"/>
      <c r="F1406" s="1025"/>
      <c r="G1406" s="24"/>
      <c r="H1406" s="340"/>
      <c r="I1406" s="1094"/>
      <c r="J1406" s="1094"/>
      <c r="K1406" s="1094"/>
      <c r="L1406" s="1094"/>
      <c r="M1406" s="1094"/>
      <c r="N1406" s="225"/>
    </row>
    <row r="1407" spans="1:81" ht="13.95" customHeight="1">
      <c r="A1407" s="224"/>
      <c r="B1407" s="1025"/>
      <c r="C1407" s="1025"/>
      <c r="D1407" s="1025"/>
      <c r="E1407" s="1025"/>
      <c r="F1407" s="1025"/>
      <c r="G1407" s="24"/>
      <c r="H1407" s="340"/>
      <c r="I1407" s="1094"/>
      <c r="J1407" s="1094"/>
      <c r="K1407" s="1094"/>
      <c r="L1407" s="1094"/>
      <c r="M1407" s="1094"/>
      <c r="N1407" s="225"/>
    </row>
    <row r="1408" spans="1:81">
      <c r="A1408" s="224"/>
      <c r="B1408" s="24"/>
      <c r="C1408" s="24"/>
      <c r="D1408" s="24"/>
      <c r="E1408" s="24"/>
      <c r="F1408" s="24"/>
      <c r="G1408" s="24"/>
      <c r="H1408" s="340"/>
      <c r="I1408" s="24"/>
      <c r="J1408" s="24"/>
      <c r="K1408" s="24"/>
      <c r="L1408" s="24"/>
      <c r="M1408" s="24"/>
      <c r="N1408" s="225"/>
    </row>
    <row r="1409" spans="1:63">
      <c r="A1409" s="224"/>
      <c r="B1409" s="24"/>
      <c r="C1409" s="24"/>
      <c r="D1409" s="24"/>
      <c r="E1409" s="24"/>
      <c r="F1409" s="24"/>
      <c r="G1409" s="24"/>
      <c r="H1409" s="340"/>
      <c r="I1409" s="24"/>
      <c r="J1409" s="24"/>
      <c r="K1409" s="24"/>
      <c r="L1409" s="24"/>
      <c r="M1409" s="24"/>
      <c r="N1409" s="225"/>
      <c r="BG1409" s="2" t="s">
        <v>990</v>
      </c>
      <c r="BH1409" s="2" t="s">
        <v>718</v>
      </c>
      <c r="BI1409" s="2" t="s">
        <v>999</v>
      </c>
      <c r="BJ1409" s="2" t="s">
        <v>720</v>
      </c>
      <c r="BK1409" s="2" t="s">
        <v>989</v>
      </c>
    </row>
    <row r="1410" spans="1:63" ht="10.199999999999999" customHeight="1" thickBot="1">
      <c r="A1410" s="224"/>
      <c r="B1410" s="24"/>
      <c r="C1410" s="24"/>
      <c r="D1410" s="24"/>
      <c r="E1410" s="24"/>
      <c r="F1410" s="24"/>
      <c r="G1410" s="24"/>
      <c r="H1410" s="340"/>
      <c r="I1410" s="24"/>
      <c r="J1410" s="24"/>
      <c r="K1410" s="24"/>
      <c r="L1410" s="24"/>
      <c r="M1410" s="24"/>
      <c r="N1410" s="225"/>
    </row>
    <row r="1411" spans="1:63" ht="16.95" customHeight="1">
      <c r="A1411" s="224"/>
      <c r="B1411" s="936" t="str">
        <f>BC1403</f>
        <v>This wording helps me engage with the opposing side of immigration politics.</v>
      </c>
      <c r="C1411" s="936"/>
      <c r="D1411" s="936"/>
      <c r="E1411" s="936"/>
      <c r="F1411" s="936"/>
      <c r="G1411" s="936"/>
      <c r="H1411" s="937"/>
      <c r="I1411" s="1050"/>
      <c r="J1411" s="919"/>
      <c r="K1411" s="919"/>
      <c r="L1411" s="919"/>
      <c r="M1411" s="920"/>
      <c r="N1411" s="225"/>
      <c r="BF1411" s="2">
        <v>15</v>
      </c>
      <c r="BG1411" s="2">
        <f>BF1411-3</f>
        <v>12</v>
      </c>
      <c r="BH1411" s="2">
        <f>BG1411-3</f>
        <v>9</v>
      </c>
      <c r="BI1411" s="2">
        <f>BH1411-3</f>
        <v>6</v>
      </c>
      <c r="BJ1411" s="2">
        <f>BI1411-3</f>
        <v>3</v>
      </c>
      <c r="BK1411" s="2">
        <f>BJ1411-3</f>
        <v>0</v>
      </c>
    </row>
    <row r="1412" spans="1:63" ht="16.95" customHeight="1" thickBot="1">
      <c r="A1412" s="224"/>
      <c r="B1412" s="936"/>
      <c r="C1412" s="936"/>
      <c r="D1412" s="936"/>
      <c r="E1412" s="936"/>
      <c r="F1412" s="936"/>
      <c r="G1412" s="936"/>
      <c r="H1412" s="937"/>
      <c r="I1412" s="1051"/>
      <c r="J1412" s="921"/>
      <c r="K1412" s="921"/>
      <c r="L1412" s="921"/>
      <c r="M1412" s="922"/>
      <c r="N1412" s="225"/>
      <c r="BE1412" s="2">
        <f>IF(I1411=BE$1301,5,IF(I1411=BE$1302,4,IF(I1411=BE$1303,3,IF(I1411=BE$1304,2,IF(I1411=BE$1305,1,0)))))</f>
        <v>0</v>
      </c>
    </row>
    <row r="1413" spans="1:63" ht="16.95" customHeight="1">
      <c r="A1413" s="224"/>
      <c r="B1413" s="936" t="str">
        <f>BC1404</f>
        <v>Now I can be less dependent on laws requiring my response to immigration-related needs.</v>
      </c>
      <c r="C1413" s="936"/>
      <c r="D1413" s="936"/>
      <c r="E1413" s="936"/>
      <c r="F1413" s="936"/>
      <c r="G1413" s="936"/>
      <c r="H1413" s="937"/>
      <c r="I1413" s="1050"/>
      <c r="J1413" s="919"/>
      <c r="K1413" s="919"/>
      <c r="L1413" s="919"/>
      <c r="M1413" s="920"/>
      <c r="N1413" s="225"/>
      <c r="BE1413" s="2">
        <f>IF(I1413=BE$1301,5,IF(I1413=BE$1302,4,IF(I1413=BE$1303,3,IF(I1413=BE$1304,2,IF(I1413=BE$1305,1,0)))))</f>
        <v>0</v>
      </c>
    </row>
    <row r="1414" spans="1:63" ht="16.95" customHeight="1" thickBot="1">
      <c r="A1414" s="224"/>
      <c r="B1414" s="936"/>
      <c r="C1414" s="936"/>
      <c r="D1414" s="936"/>
      <c r="E1414" s="936"/>
      <c r="F1414" s="936"/>
      <c r="G1414" s="936"/>
      <c r="H1414" s="937"/>
      <c r="I1414" s="1051"/>
      <c r="J1414" s="921"/>
      <c r="K1414" s="921"/>
      <c r="L1414" s="921"/>
      <c r="M1414" s="922"/>
      <c r="N1414" s="225"/>
      <c r="BE1414" s="2">
        <f>IF(I1415=BE$1301,5,IF(I1415=BE$1302,4,IF(I1415=BE$1303,3,IF(I1415=BE$1304,2,IF(I1415=BE$1305,1,0)))))</f>
        <v>0</v>
      </c>
    </row>
    <row r="1415" spans="1:63" ht="16.95" customHeight="1">
      <c r="A1415" s="224"/>
      <c r="B1415" s="936" t="str">
        <f>BC1405</f>
        <v>I can now better handle losing at immigration politics.</v>
      </c>
      <c r="C1415" s="936"/>
      <c r="D1415" s="936"/>
      <c r="E1415" s="936"/>
      <c r="F1415" s="936"/>
      <c r="G1415" s="936"/>
      <c r="H1415" s="937"/>
      <c r="I1415" s="1050"/>
      <c r="J1415" s="919"/>
      <c r="K1415" s="919"/>
      <c r="L1415" s="919"/>
      <c r="M1415" s="920"/>
      <c r="N1415" s="225"/>
      <c r="BE1415" s="37">
        <f>SUM(BE1412:BE1414)</f>
        <v>0</v>
      </c>
    </row>
    <row r="1416" spans="1:63" ht="16.95" customHeight="1" thickBot="1">
      <c r="A1416" s="224"/>
      <c r="B1416" s="936"/>
      <c r="C1416" s="936"/>
      <c r="D1416" s="936"/>
      <c r="E1416" s="936"/>
      <c r="F1416" s="936"/>
      <c r="G1416" s="936"/>
      <c r="H1416" s="937"/>
      <c r="I1416" s="1051"/>
      <c r="J1416" s="921"/>
      <c r="K1416" s="921"/>
      <c r="L1416" s="921"/>
      <c r="M1416" s="922"/>
      <c r="N1416" s="225"/>
      <c r="BE1416" s="37" t="str">
        <f>IF(AND(BE1415&gt;=BK1411,BE1415&lt;BJ1411),BK1409,IF(AND(BE1415&gt;=BJ1411,BE1415&lt;BI1411),BJ1409,IF(AND(BE1415&gt;=BI1411,BE1415&lt;BH1411),BI1409,IF(AND(BE1415&gt;=BH1411,BE1415&lt;BG1411),BH1409,IF(AND(BE1415&gt;=BG1411,BE1415&lt;=BF1411),BG1409)))))</f>
        <v>low</v>
      </c>
    </row>
    <row r="1417" spans="1:63" ht="4.95" customHeight="1">
      <c r="A1417" s="224"/>
      <c r="B1417" s="24"/>
      <c r="C1417" s="24"/>
      <c r="D1417" s="24"/>
      <c r="E1417" s="24"/>
      <c r="F1417" s="24"/>
      <c r="G1417" s="24"/>
      <c r="H1417" s="340"/>
      <c r="I1417" s="24"/>
      <c r="J1417" s="24"/>
      <c r="K1417" s="24"/>
      <c r="L1417" s="24"/>
      <c r="M1417" s="24"/>
      <c r="N1417" s="225"/>
    </row>
    <row r="1418" spans="1:63">
      <c r="A1418" s="224"/>
      <c r="B1418" s="935" t="str">
        <f>BC1423</f>
        <v>Are you ready to honor needs without alienating laws about immigration? After choosing an issue, select above how well you can agree with these radically different approaches to immigration politics. Replace being led with taking the lead.</v>
      </c>
      <c r="C1418" s="935"/>
      <c r="D1418" s="935"/>
      <c r="E1418" s="935"/>
      <c r="F1418" s="935"/>
      <c r="G1418" s="935"/>
      <c r="H1418" s="935"/>
      <c r="I1418" s="935"/>
      <c r="J1418" s="935"/>
      <c r="K1418" s="935"/>
      <c r="L1418" s="935"/>
      <c r="M1418" s="935"/>
      <c r="N1418" s="225"/>
      <c r="BC1418" s="2" t="str">
        <f>IF(BE1412=0,"",CONCATENATE(BE1418,BF1418,BG1418,BH1418,BI1418,BJ1418))</f>
        <v/>
      </c>
      <c r="BE1418" s="2" t="s">
        <v>1000</v>
      </c>
      <c r="BF1418" s="2" t="str">
        <f>BE1416</f>
        <v>low</v>
      </c>
      <c r="BG1418" s="2" t="s">
        <v>1007</v>
      </c>
      <c r="BH1418" s="2" t="s">
        <v>1020</v>
      </c>
      <c r="BI1418" s="2" t="str">
        <f>IF($B$1233="","",$BF$1307)</f>
        <v>immigration</v>
      </c>
      <c r="BJ1418" s="2" t="s">
        <v>1021</v>
      </c>
    </row>
    <row r="1419" spans="1:63">
      <c r="A1419" s="224"/>
      <c r="B1419" s="935"/>
      <c r="C1419" s="935"/>
      <c r="D1419" s="935"/>
      <c r="E1419" s="935"/>
      <c r="F1419" s="935"/>
      <c r="G1419" s="935"/>
      <c r="H1419" s="935"/>
      <c r="I1419" s="935"/>
      <c r="J1419" s="935"/>
      <c r="K1419" s="935"/>
      <c r="L1419" s="935"/>
      <c r="M1419" s="935"/>
      <c r="N1419" s="225"/>
      <c r="BC1419" s="2" t="str">
        <f>IF(BE1413=0,"",CONCATENATE(BE1419,BF1419,BG1419,BH1419,BI1419))</f>
        <v/>
      </c>
      <c r="BE1419" s="2" t="s">
        <v>1025</v>
      </c>
      <c r="BF1419" s="2" t="str">
        <f>IF($B$1233="","",$BF$1307)</f>
        <v>immigration</v>
      </c>
      <c r="BG1419" s="47" t="s">
        <v>1026</v>
      </c>
      <c r="BH1419" s="2" t="str">
        <f>IF($B$1233="","",$BF$1307)</f>
        <v>immigration</v>
      </c>
      <c r="BI1419" s="2" t="s">
        <v>1022</v>
      </c>
    </row>
    <row r="1420" spans="1:63">
      <c r="A1420" s="224"/>
      <c r="B1420" s="935"/>
      <c r="C1420" s="935"/>
      <c r="D1420" s="935"/>
      <c r="E1420" s="935"/>
      <c r="F1420" s="935"/>
      <c r="G1420" s="935"/>
      <c r="H1420" s="935"/>
      <c r="I1420" s="935"/>
      <c r="J1420" s="935"/>
      <c r="K1420" s="935"/>
      <c r="L1420" s="935"/>
      <c r="M1420" s="935"/>
      <c r="N1420" s="225"/>
      <c r="BC1420" s="2" t="str">
        <f>IF(BE1414=0,"",CONCATENATE(BE1420,BF1420,BG1420,BH1420,BI1420,BJ1420))</f>
        <v/>
      </c>
      <c r="BE1420" s="2" t="s">
        <v>1023</v>
      </c>
      <c r="BF1420" s="2" t="str">
        <f>IF($B$1233="","",$BF$1307)</f>
        <v>immigration</v>
      </c>
      <c r="BG1420" s="2" t="s">
        <v>1024</v>
      </c>
      <c r="BJ1420" s="2" t="s">
        <v>1004</v>
      </c>
    </row>
    <row r="1421" spans="1:63">
      <c r="A1421" s="224"/>
      <c r="B1421" s="935"/>
      <c r="C1421" s="935"/>
      <c r="D1421" s="935"/>
      <c r="E1421" s="935"/>
      <c r="F1421" s="935"/>
      <c r="G1421" s="935"/>
      <c r="H1421" s="935"/>
      <c r="I1421" s="935"/>
      <c r="J1421" s="935"/>
      <c r="K1421" s="935"/>
      <c r="L1421" s="935"/>
      <c r="M1421" s="935"/>
      <c r="N1421" s="225"/>
      <c r="BC1421" s="2" t="str">
        <f>CONCATENATE(BE1421,BF1421,BG1421,BH1421,BI1421)</f>
        <v>Are you ready to honor needs without alienating laws about immigration? After choosing an issue, select above how well you can agree with these radically different approaches to immigration politics. Replace being led with taking the lead.</v>
      </c>
      <c r="BE1421" s="2" t="s">
        <v>1016</v>
      </c>
      <c r="BF1421" s="2" t="str">
        <f>IF(OR($B$1233=0,$B$1233=""),"politicized issues",$BF$1307)</f>
        <v>immigration</v>
      </c>
      <c r="BG1421" s="2" t="s">
        <v>1015</v>
      </c>
      <c r="BH1421" s="2" t="str">
        <f>IF($B$1233="","",$BF$1307)</f>
        <v>immigration</v>
      </c>
      <c r="BI1421" s="2" t="s">
        <v>1011</v>
      </c>
    </row>
    <row r="1422" spans="1:63">
      <c r="A1422" s="224"/>
      <c r="B1422" s="935"/>
      <c r="C1422" s="935"/>
      <c r="D1422" s="935"/>
      <c r="E1422" s="935"/>
      <c r="F1422" s="935"/>
      <c r="G1422" s="935"/>
      <c r="H1422" s="935"/>
      <c r="I1422" s="935"/>
      <c r="J1422" s="935"/>
      <c r="K1422" s="935"/>
      <c r="L1422" s="935"/>
      <c r="M1422" s="935"/>
      <c r="N1422" s="225"/>
      <c r="BC1422" s="2" t="str">
        <f>CONCATENATE(BC1418,BC1419,BC1420)</f>
        <v/>
      </c>
    </row>
    <row r="1423" spans="1:63">
      <c r="A1423" s="224"/>
      <c r="B1423" s="935"/>
      <c r="C1423" s="935"/>
      <c r="D1423" s="935"/>
      <c r="E1423" s="935"/>
      <c r="F1423" s="935"/>
      <c r="G1423" s="935"/>
      <c r="H1423" s="935"/>
      <c r="I1423" s="935"/>
      <c r="J1423" s="935"/>
      <c r="K1423" s="935"/>
      <c r="L1423" s="935"/>
      <c r="M1423" s="935"/>
      <c r="N1423" s="225"/>
      <c r="BC1423" s="2" t="str">
        <f>IF(BE1415=0,BC1421,BC1422)</f>
        <v>Are you ready to honor needs without alienating laws about immigration? After choosing an issue, select above how well you can agree with these radically different approaches to immigration politics. Replace being led with taking the lead.</v>
      </c>
    </row>
    <row r="1424" spans="1:63" ht="10.199999999999999" customHeight="1">
      <c r="A1424" s="226"/>
      <c r="B1424" s="231"/>
      <c r="C1424" s="231"/>
      <c r="D1424" s="231"/>
      <c r="E1424" s="231"/>
      <c r="F1424" s="231"/>
      <c r="G1424" s="231"/>
      <c r="H1424" s="342"/>
      <c r="I1424" s="231"/>
      <c r="J1424" s="231"/>
      <c r="K1424" s="231"/>
      <c r="L1424" s="231"/>
      <c r="M1424" s="231"/>
      <c r="N1424" s="228"/>
    </row>
    <row r="1425" spans="1:69" ht="30" customHeight="1">
      <c r="A1425" s="220" t="s">
        <v>1148</v>
      </c>
      <c r="B1425" s="916" t="s">
        <v>775</v>
      </c>
      <c r="C1425" s="916"/>
      <c r="D1425" s="916"/>
      <c r="E1425" s="916"/>
      <c r="F1425" s="916"/>
      <c r="G1425" s="916"/>
      <c r="H1425" s="916"/>
      <c r="I1425" s="916"/>
      <c r="J1425" s="916"/>
      <c r="K1425" s="916"/>
      <c r="L1425" s="221"/>
      <c r="M1425" s="222"/>
      <c r="N1425" s="223" t="s">
        <v>1149</v>
      </c>
    </row>
    <row r="1426" spans="1:69">
      <c r="A1426" s="224"/>
      <c r="B1426" s="24"/>
      <c r="C1426" s="24"/>
      <c r="D1426" s="24"/>
      <c r="E1426" s="24"/>
      <c r="F1426" s="24"/>
      <c r="G1426" s="24"/>
      <c r="H1426" s="340"/>
      <c r="I1426" s="24"/>
      <c r="J1426" s="24"/>
      <c r="K1426" s="24"/>
      <c r="L1426" s="24"/>
      <c r="M1426" s="24"/>
      <c r="N1426" s="225"/>
    </row>
    <row r="1427" spans="1:69">
      <c r="A1427" s="224"/>
      <c r="B1427" s="24"/>
      <c r="C1427" s="24"/>
      <c r="D1427" s="24"/>
      <c r="E1427" s="24"/>
      <c r="F1427" s="24"/>
      <c r="G1427" s="24"/>
      <c r="H1427" s="340"/>
      <c r="I1427" s="24"/>
      <c r="J1427" s="24"/>
      <c r="K1427" s="24"/>
      <c r="L1427" s="24"/>
      <c r="M1427" s="24"/>
      <c r="N1427" s="225"/>
    </row>
    <row r="1428" spans="1:69">
      <c r="A1428" s="224"/>
      <c r="B1428" s="24"/>
      <c r="C1428" s="24"/>
      <c r="D1428" s="24"/>
      <c r="E1428" s="24"/>
      <c r="F1428" s="24"/>
      <c r="G1428" s="24"/>
      <c r="H1428" s="340"/>
      <c r="I1428" s="24"/>
      <c r="J1428" s="24"/>
      <c r="K1428" s="24"/>
      <c r="L1428" s="24"/>
      <c r="M1428" s="24"/>
      <c r="N1428" s="225"/>
    </row>
    <row r="1429" spans="1:69" ht="15.6">
      <c r="A1429" s="224"/>
      <c r="B1429" s="229"/>
      <c r="C1429" s="24"/>
      <c r="D1429" s="24"/>
      <c r="E1429" s="24"/>
      <c r="F1429" s="24"/>
      <c r="G1429" s="24"/>
      <c r="H1429" s="356" t="s">
        <v>776</v>
      </c>
      <c r="I1429" s="24"/>
      <c r="J1429" s="24"/>
      <c r="K1429" s="24"/>
      <c r="L1429" s="24"/>
      <c r="M1429" s="24"/>
      <c r="N1429" s="225"/>
    </row>
    <row r="1430" spans="1:69">
      <c r="A1430" s="224"/>
      <c r="B1430" s="24"/>
      <c r="C1430" s="24"/>
      <c r="D1430" s="24"/>
      <c r="E1430" s="24"/>
      <c r="F1430" s="24"/>
      <c r="G1430" s="24"/>
      <c r="H1430" s="340"/>
      <c r="I1430" s="24"/>
      <c r="J1430" s="24"/>
      <c r="K1430" s="24"/>
      <c r="L1430" s="24"/>
      <c r="M1430" s="24"/>
      <c r="N1430" s="225"/>
    </row>
    <row r="1431" spans="1:69" ht="13.95" customHeight="1">
      <c r="A1431" s="224"/>
      <c r="B1431" s="24"/>
      <c r="C1431" s="24"/>
      <c r="D1431" s="24"/>
      <c r="E1431" s="24"/>
      <c r="F1431" s="24"/>
      <c r="G1431" s="24"/>
      <c r="H1431" s="357">
        <v>1</v>
      </c>
      <c r="I1431" s="932" t="str">
        <f>IF(B$1233="",BM1431,BE1431)</f>
        <v>The more you overstate their differences on IMMIGRATION, the more you depict their errors with IMMIGRATION as typical.</v>
      </c>
      <c r="J1431" s="932"/>
      <c r="K1431" s="932"/>
      <c r="L1431" s="932"/>
      <c r="M1431" s="932"/>
      <c r="N1431" s="225"/>
      <c r="BD1431" s="2">
        <v>1</v>
      </c>
      <c r="BE1431" s="37" t="str">
        <f>CONCATENATE(BG1431,BH1431,BI1431,BJ1431,BK1431,".")</f>
        <v>The more you overstate their differences on IMMIGRATION, the more you depict their errors with IMMIGRATION as typical.</v>
      </c>
      <c r="BF1431" s="47" t="s">
        <v>3</v>
      </c>
      <c r="BG1431" s="2" t="s">
        <v>816</v>
      </c>
      <c r="BH1431" s="2" t="str">
        <f>IF(OR($B$1233=0,$B$1233=""),"a politicized issue",$B$1233)</f>
        <v>IMMIGRATION</v>
      </c>
      <c r="BI1431" s="2" t="s">
        <v>817</v>
      </c>
      <c r="BJ1431" s="2" t="str">
        <f>BH1431</f>
        <v>IMMIGRATION</v>
      </c>
      <c r="BK1431" s="2" t="s">
        <v>818</v>
      </c>
      <c r="BM1431" s="2" t="str">
        <f>CONCATENATE(BN1431,BO1431,BP1431,BQ1431)</f>
        <v>The more you overstate their differences on a politial issue, the more you depict their errors with that issue as typical.</v>
      </c>
      <c r="BN1431" s="2" t="s">
        <v>725</v>
      </c>
      <c r="BO1431" s="2" t="s">
        <v>825</v>
      </c>
      <c r="BP1431" s="2" t="s">
        <v>807</v>
      </c>
      <c r="BQ1431" s="2" t="s">
        <v>826</v>
      </c>
    </row>
    <row r="1432" spans="1:69">
      <c r="A1432" s="224"/>
      <c r="B1432" s="24"/>
      <c r="C1432" s="24"/>
      <c r="D1432" s="24"/>
      <c r="E1432" s="24"/>
      <c r="F1432" s="24"/>
      <c r="G1432" s="24"/>
      <c r="H1432" s="340"/>
      <c r="I1432" s="932"/>
      <c r="J1432" s="932"/>
      <c r="K1432" s="932"/>
      <c r="L1432" s="932"/>
      <c r="M1432" s="932"/>
      <c r="N1432" s="225"/>
    </row>
    <row r="1433" spans="1:69">
      <c r="A1433" s="224"/>
      <c r="B1433" s="24"/>
      <c r="C1433" s="24"/>
      <c r="D1433" s="24"/>
      <c r="E1433" s="24"/>
      <c r="F1433" s="24"/>
      <c r="G1433" s="24"/>
      <c r="H1433" s="340"/>
      <c r="I1433" s="932"/>
      <c r="J1433" s="932"/>
      <c r="K1433" s="932"/>
      <c r="L1433" s="932"/>
      <c r="M1433" s="932"/>
      <c r="N1433" s="225"/>
    </row>
    <row r="1434" spans="1:69" ht="13.95" customHeight="1">
      <c r="A1434" s="224"/>
      <c r="B1434" s="24"/>
      <c r="C1434" s="24"/>
      <c r="D1434" s="24"/>
      <c r="E1434" s="24"/>
      <c r="F1434" s="24"/>
      <c r="G1434" s="24"/>
      <c r="H1434" s="340"/>
      <c r="I1434" s="932"/>
      <c r="J1434" s="932"/>
      <c r="K1434" s="932"/>
      <c r="L1434" s="932"/>
      <c r="M1434" s="932"/>
      <c r="N1434" s="225"/>
    </row>
    <row r="1435" spans="1:69">
      <c r="A1435" s="224"/>
      <c r="B1435" s="24"/>
      <c r="C1435" s="24"/>
      <c r="D1435" s="24"/>
      <c r="E1435" s="24"/>
      <c r="F1435" s="24"/>
      <c r="G1435" s="24"/>
      <c r="H1435" s="357">
        <v>2</v>
      </c>
      <c r="I1435" s="932" t="str">
        <f>IF(B$1233="",BM1435,BE1435)</f>
        <v>The more you depict their errors with IMMIGRATION as typical, the more guarded you get toward their views on IMMIGRATION.</v>
      </c>
      <c r="J1435" s="932"/>
      <c r="K1435" s="932"/>
      <c r="L1435" s="932"/>
      <c r="M1435" s="932"/>
      <c r="N1435" s="225"/>
      <c r="BD1435" s="2">
        <v>2</v>
      </c>
      <c r="BE1435" s="37" t="str">
        <f>CONCATENATE(BG1435,BH1435,BI1435,BJ1435,BK1435,".")</f>
        <v>The more you depict their errors with IMMIGRATION as typical, the more guarded you get toward their views on IMMIGRATION.</v>
      </c>
      <c r="BF1435" s="47" t="s">
        <v>3</v>
      </c>
      <c r="BG1435" s="2" t="s">
        <v>819</v>
      </c>
      <c r="BH1435" s="2" t="str">
        <f>BH1431</f>
        <v>IMMIGRATION</v>
      </c>
      <c r="BI1435" s="2" t="s">
        <v>820</v>
      </c>
      <c r="BJ1435" s="2" t="str">
        <f>BH1435</f>
        <v>IMMIGRATION</v>
      </c>
      <c r="BM1435" s="2" t="str">
        <f>CONCATENATE(BN1435,BO1435,BP1435,BQ1435)</f>
        <v>The more you depict their errors with that issue as typical, the more guarded you get toward their views on that particular issue.</v>
      </c>
      <c r="BN1435" s="2" t="s">
        <v>725</v>
      </c>
      <c r="BO1435" s="2" t="s">
        <v>827</v>
      </c>
      <c r="BP1435" s="2" t="s">
        <v>807</v>
      </c>
      <c r="BQ1435" s="2" t="s">
        <v>828</v>
      </c>
    </row>
    <row r="1436" spans="1:69">
      <c r="A1436" s="224"/>
      <c r="B1436" s="24"/>
      <c r="C1436" s="24"/>
      <c r="D1436" s="24"/>
      <c r="E1436" s="24"/>
      <c r="F1436" s="24"/>
      <c r="G1436" s="24"/>
      <c r="H1436" s="358"/>
      <c r="I1436" s="932"/>
      <c r="J1436" s="932"/>
      <c r="K1436" s="932"/>
      <c r="L1436" s="932"/>
      <c r="M1436" s="932"/>
      <c r="N1436" s="225"/>
    </row>
    <row r="1437" spans="1:69" ht="13.95" customHeight="1">
      <c r="A1437" s="224"/>
      <c r="B1437" s="24"/>
      <c r="C1437" s="24"/>
      <c r="D1437" s="24"/>
      <c r="E1437" s="24"/>
      <c r="F1437" s="24"/>
      <c r="G1437" s="24"/>
      <c r="H1437" s="357"/>
      <c r="I1437" s="932"/>
      <c r="J1437" s="932"/>
      <c r="K1437" s="932"/>
      <c r="L1437" s="932"/>
      <c r="M1437" s="932"/>
      <c r="N1437" s="225"/>
    </row>
    <row r="1438" spans="1:69">
      <c r="A1438" s="224"/>
      <c r="B1438" s="24"/>
      <c r="C1438" s="24"/>
      <c r="D1438" s="24"/>
      <c r="E1438" s="24"/>
      <c r="F1438" s="24"/>
      <c r="G1438" s="24"/>
      <c r="H1438" s="358"/>
      <c r="I1438" s="932"/>
      <c r="J1438" s="932"/>
      <c r="K1438" s="932"/>
      <c r="L1438" s="932"/>
      <c r="M1438" s="932"/>
      <c r="N1438" s="225"/>
    </row>
    <row r="1439" spans="1:69">
      <c r="A1439" s="224"/>
      <c r="B1439" s="24"/>
      <c r="C1439" s="24"/>
      <c r="D1439" s="24"/>
      <c r="E1439" s="24"/>
      <c r="F1439" s="24"/>
      <c r="G1439" s="24"/>
      <c r="H1439" s="357">
        <v>3</v>
      </c>
      <c r="I1439" s="932" t="str">
        <f>IF(B$1233="",BM1439,BE1439)</f>
        <v>The more guarded you get toward their views on IMMIGRATION the more they get defensive toward your views on IMMIGRATION.</v>
      </c>
      <c r="J1439" s="932"/>
      <c r="K1439" s="932"/>
      <c r="L1439" s="932"/>
      <c r="M1439" s="932"/>
      <c r="N1439" s="225"/>
      <c r="BD1439" s="2">
        <v>3</v>
      </c>
      <c r="BE1439" s="37" t="str">
        <f>CONCATENATE(BG1439,BH1439,BI1439,BJ1439,BK1439,".")</f>
        <v>The more guarded you get toward their views on IMMIGRATION the more they get defensive toward your views on IMMIGRATION.</v>
      </c>
      <c r="BF1439" s="47" t="s">
        <v>3</v>
      </c>
      <c r="BG1439" s="2" t="s">
        <v>821</v>
      </c>
      <c r="BH1439" s="2" t="str">
        <f>BH1435</f>
        <v>IMMIGRATION</v>
      </c>
      <c r="BI1439" s="2" t="s">
        <v>822</v>
      </c>
      <c r="BJ1439" s="2" t="str">
        <f>BH1439</f>
        <v>IMMIGRATION</v>
      </c>
      <c r="BM1439" s="2" t="str">
        <f>CONCATENATE(BN1439,BO1439,BP1439,BQ1439)</f>
        <v>The more guarded you get toward their views on that political issue, the more they get defensive toward your views on that issue.</v>
      </c>
      <c r="BN1439" s="2" t="s">
        <v>725</v>
      </c>
      <c r="BO1439" s="2" t="s">
        <v>829</v>
      </c>
      <c r="BP1439" s="2" t="s">
        <v>807</v>
      </c>
      <c r="BQ1439" s="2" t="s">
        <v>830</v>
      </c>
    </row>
    <row r="1440" spans="1:69" ht="13.95" customHeight="1">
      <c r="A1440" s="224"/>
      <c r="B1440" s="24"/>
      <c r="C1440" s="24"/>
      <c r="D1440" s="24"/>
      <c r="E1440" s="24"/>
      <c r="F1440" s="24"/>
      <c r="G1440" s="24"/>
      <c r="H1440" s="358"/>
      <c r="I1440" s="932"/>
      <c r="J1440" s="932"/>
      <c r="K1440" s="932"/>
      <c r="L1440" s="932"/>
      <c r="M1440" s="932"/>
      <c r="N1440" s="225"/>
    </row>
    <row r="1441" spans="1:69">
      <c r="A1441" s="224"/>
      <c r="B1441" s="24"/>
      <c r="C1441" s="24"/>
      <c r="D1441" s="24"/>
      <c r="E1441" s="24"/>
      <c r="F1441" s="24"/>
      <c r="G1441" s="24"/>
      <c r="H1441" s="357"/>
      <c r="I1441" s="932"/>
      <c r="J1441" s="932"/>
      <c r="K1441" s="932"/>
      <c r="L1441" s="932"/>
      <c r="M1441" s="932"/>
      <c r="N1441" s="225"/>
    </row>
    <row r="1442" spans="1:69">
      <c r="A1442" s="224"/>
      <c r="B1442" s="24"/>
      <c r="C1442" s="24"/>
      <c r="D1442" s="24"/>
      <c r="E1442" s="24"/>
      <c r="F1442" s="24"/>
      <c r="G1442" s="24"/>
      <c r="H1442" s="358"/>
      <c r="I1442" s="932"/>
      <c r="J1442" s="932"/>
      <c r="K1442" s="932"/>
      <c r="L1442" s="932"/>
      <c r="M1442" s="932"/>
      <c r="N1442" s="225"/>
    </row>
    <row r="1443" spans="1:69">
      <c r="A1443" s="224"/>
      <c r="B1443" s="24"/>
      <c r="C1443" s="24"/>
      <c r="D1443" s="24"/>
      <c r="E1443" s="24"/>
      <c r="F1443" s="24"/>
      <c r="G1443" s="24"/>
      <c r="H1443" s="357">
        <v>4</v>
      </c>
      <c r="I1443" s="932" t="str">
        <f>IF(B$1233="",BM1443,BE1443)</f>
        <v>The more they get defensive toward your views on IMMIGRATION, the more you overstate their differences on IMMIGRATION.</v>
      </c>
      <c r="J1443" s="932"/>
      <c r="K1443" s="932"/>
      <c r="L1443" s="932"/>
      <c r="M1443" s="932"/>
      <c r="N1443" s="225"/>
      <c r="BD1443" s="2">
        <v>4</v>
      </c>
      <c r="BE1443" s="37" t="str">
        <f>CONCATENATE(BG1443,BH1443,BI1443,BJ1443,BK1443,".")</f>
        <v>The more they get defensive toward your views on IMMIGRATION, the more you overstate their differences on IMMIGRATION.</v>
      </c>
      <c r="BF1443" s="47" t="s">
        <v>3</v>
      </c>
      <c r="BG1443" s="2" t="s">
        <v>823</v>
      </c>
      <c r="BH1443" s="2" t="str">
        <f>BH1439</f>
        <v>IMMIGRATION</v>
      </c>
      <c r="BI1443" s="2" t="s">
        <v>824</v>
      </c>
      <c r="BJ1443" s="2" t="str">
        <f>BH1443</f>
        <v>IMMIGRATION</v>
      </c>
      <c r="BM1443" s="2" t="str">
        <f>CONCATENATE(BN1443,BO1443,BP1443,BQ1443)</f>
        <v>The more they get defensive toward you views on that political issue, the more you overstate their differences on that issue.</v>
      </c>
      <c r="BN1443" s="2" t="s">
        <v>725</v>
      </c>
      <c r="BO1443" s="2" t="s">
        <v>831</v>
      </c>
      <c r="BP1443" s="2" t="s">
        <v>807</v>
      </c>
      <c r="BQ1443" s="2" t="s">
        <v>832</v>
      </c>
    </row>
    <row r="1444" spans="1:69">
      <c r="A1444" s="224"/>
      <c r="B1444" s="24"/>
      <c r="C1444" s="24"/>
      <c r="D1444" s="24"/>
      <c r="E1444" s="24"/>
      <c r="F1444" s="24"/>
      <c r="G1444" s="24"/>
      <c r="H1444" s="358"/>
      <c r="I1444" s="932"/>
      <c r="J1444" s="932"/>
      <c r="K1444" s="932"/>
      <c r="L1444" s="932"/>
      <c r="M1444" s="932"/>
      <c r="N1444" s="225"/>
    </row>
    <row r="1445" spans="1:69">
      <c r="A1445" s="224"/>
      <c r="B1445" s="24"/>
      <c r="C1445" s="24"/>
      <c r="D1445" s="24"/>
      <c r="E1445" s="24"/>
      <c r="F1445" s="24"/>
      <c r="G1445" s="24"/>
      <c r="H1445" s="357"/>
      <c r="I1445" s="932"/>
      <c r="J1445" s="932"/>
      <c r="K1445" s="932"/>
      <c r="L1445" s="932"/>
      <c r="M1445" s="932"/>
      <c r="N1445" s="225"/>
    </row>
    <row r="1446" spans="1:69">
      <c r="A1446" s="224"/>
      <c r="B1446" s="24"/>
      <c r="C1446" s="24"/>
      <c r="D1446" s="24"/>
      <c r="E1446" s="24"/>
      <c r="F1446" s="24"/>
      <c r="G1446" s="24"/>
      <c r="H1446" s="358"/>
      <c r="I1446" s="932"/>
      <c r="J1446" s="932"/>
      <c r="K1446" s="932"/>
      <c r="L1446" s="932"/>
      <c r="M1446" s="932"/>
      <c r="N1446" s="225"/>
    </row>
    <row r="1447" spans="1:69">
      <c r="A1447" s="224"/>
      <c r="B1447" s="24"/>
      <c r="C1447" s="24"/>
      <c r="D1447" s="24"/>
      <c r="E1447" s="24"/>
      <c r="F1447" s="24"/>
      <c r="G1447" s="24"/>
      <c r="H1447" s="357">
        <v>5</v>
      </c>
      <c r="I1447" s="932" t="str">
        <f>IF(B$1233="",BM1447,BE1447)</f>
        <v>The more you overstate their differences on IMMIGRATION….</v>
      </c>
      <c r="J1447" s="932"/>
      <c r="K1447" s="932"/>
      <c r="L1447" s="932"/>
      <c r="M1447" s="932"/>
      <c r="N1447" s="225"/>
      <c r="BD1447" s="2">
        <v>5</v>
      </c>
      <c r="BE1447" s="37" t="str">
        <f>CONCATENATE(BG1447,BH1447,BI1447,BJ1447,".")</f>
        <v>The more you overstate their differences on IMMIGRATION….</v>
      </c>
      <c r="BF1447" s="47" t="s">
        <v>3</v>
      </c>
      <c r="BG1447" s="2" t="s">
        <v>816</v>
      </c>
      <c r="BH1447" s="2" t="str">
        <f>BH1443</f>
        <v>IMMIGRATION</v>
      </c>
      <c r="BI1447" s="2" t="s">
        <v>734</v>
      </c>
      <c r="BM1447" s="2" t="str">
        <f>CONCATENATE(BN1447,BO1447)</f>
        <v>The more more you overstate these differences on that issue…</v>
      </c>
      <c r="BN1447" s="2" t="s">
        <v>725</v>
      </c>
      <c r="BO1447" s="2" t="s">
        <v>833</v>
      </c>
    </row>
    <row r="1448" spans="1:69">
      <c r="A1448" s="224"/>
      <c r="B1448" s="24"/>
      <c r="C1448" s="24"/>
      <c r="D1448" s="24"/>
      <c r="E1448" s="24"/>
      <c r="F1448" s="24"/>
      <c r="G1448" s="24"/>
      <c r="H1448" s="358"/>
      <c r="I1448" s="932"/>
      <c r="J1448" s="932"/>
      <c r="K1448" s="932"/>
      <c r="L1448" s="932"/>
      <c r="M1448" s="932"/>
      <c r="N1448" s="225"/>
    </row>
    <row r="1449" spans="1:69">
      <c r="A1449" s="224"/>
      <c r="B1449" s="24"/>
      <c r="C1449" s="24"/>
      <c r="D1449" s="24"/>
      <c r="E1449" s="24"/>
      <c r="F1449" s="24"/>
      <c r="G1449" s="24"/>
      <c r="H1449" s="357"/>
      <c r="I1449" s="932"/>
      <c r="J1449" s="932"/>
      <c r="K1449" s="932"/>
      <c r="L1449" s="932"/>
      <c r="M1449" s="932"/>
      <c r="N1449" s="225"/>
    </row>
    <row r="1450" spans="1:69" ht="15.6">
      <c r="A1450" s="224"/>
      <c r="B1450" s="229"/>
      <c r="C1450" s="24"/>
      <c r="D1450" s="24"/>
      <c r="E1450" s="24"/>
      <c r="F1450" s="24"/>
      <c r="G1450" s="24"/>
      <c r="H1450" s="356" t="s">
        <v>777</v>
      </c>
      <c r="I1450" s="230"/>
      <c r="J1450" s="230"/>
      <c r="K1450" s="230"/>
      <c r="L1450" s="230"/>
      <c r="M1450" s="230"/>
      <c r="N1450" s="225"/>
    </row>
    <row r="1451" spans="1:69">
      <c r="A1451" s="224"/>
      <c r="B1451" s="24"/>
      <c r="C1451" s="24"/>
      <c r="D1451" s="24"/>
      <c r="E1451" s="24"/>
      <c r="F1451" s="24"/>
      <c r="G1451" s="24"/>
      <c r="H1451" s="340"/>
      <c r="I1451" s="24"/>
      <c r="J1451" s="24"/>
      <c r="K1451" s="24"/>
      <c r="L1451" s="24"/>
      <c r="M1451" s="24"/>
      <c r="N1451" s="225"/>
    </row>
    <row r="1452" spans="1:69">
      <c r="A1452" s="224"/>
      <c r="B1452" s="24"/>
      <c r="C1452" s="24"/>
      <c r="D1452" s="24"/>
      <c r="E1452" s="24"/>
      <c r="F1452" s="24"/>
      <c r="G1452" s="24"/>
      <c r="H1452" s="357">
        <v>1</v>
      </c>
      <c r="I1452" s="932" t="str">
        <f>IF(B$1233="",BM1452,BE1452)</f>
        <v>The less you overstate their differences on IMMIGRATION, the less you depict their errors with IMMIGRATION.</v>
      </c>
      <c r="J1452" s="932"/>
      <c r="K1452" s="932"/>
      <c r="L1452" s="932"/>
      <c r="M1452" s="932"/>
      <c r="N1452" s="225"/>
      <c r="BD1452" s="2">
        <v>1</v>
      </c>
      <c r="BE1452" s="37" t="str">
        <f>CONCATENATE(BG1452,BH1452,BI1452,BJ1452,BK1452,".")</f>
        <v>The less you overstate their differences on IMMIGRATION, the less you depict their errors with IMMIGRATION.</v>
      </c>
      <c r="BF1452" s="47" t="s">
        <v>3</v>
      </c>
      <c r="BG1452" s="2" t="s">
        <v>834</v>
      </c>
      <c r="BH1452" s="2" t="str">
        <f>BH1431</f>
        <v>IMMIGRATION</v>
      </c>
      <c r="BI1452" s="2" t="s">
        <v>838</v>
      </c>
      <c r="BJ1452" s="2" t="str">
        <f>BH1452</f>
        <v>IMMIGRATION</v>
      </c>
      <c r="BM1452" s="2" t="str">
        <f>CONCATENATE(BN1452,BO1452,BP1452,BQ1452)</f>
        <v>The less you overstate their differences on a politial issue, the less you depict their errors with that issue as typical.</v>
      </c>
      <c r="BN1452" s="2" t="s">
        <v>785</v>
      </c>
      <c r="BO1452" s="2" t="s">
        <v>825</v>
      </c>
      <c r="BP1452" s="2" t="s">
        <v>811</v>
      </c>
      <c r="BQ1452" s="2" t="s">
        <v>826</v>
      </c>
    </row>
    <row r="1453" spans="1:69">
      <c r="A1453" s="224"/>
      <c r="B1453" s="24"/>
      <c r="C1453" s="24"/>
      <c r="D1453" s="24"/>
      <c r="E1453" s="24"/>
      <c r="F1453" s="24"/>
      <c r="G1453" s="24"/>
      <c r="H1453" s="340"/>
      <c r="I1453" s="932"/>
      <c r="J1453" s="932"/>
      <c r="K1453" s="932"/>
      <c r="L1453" s="932"/>
      <c r="M1453" s="932"/>
      <c r="N1453" s="225"/>
    </row>
    <row r="1454" spans="1:69">
      <c r="A1454" s="224"/>
      <c r="B1454" s="24"/>
      <c r="C1454" s="24"/>
      <c r="D1454" s="24"/>
      <c r="E1454" s="24"/>
      <c r="F1454" s="24"/>
      <c r="G1454" s="24"/>
      <c r="H1454" s="340"/>
      <c r="I1454" s="932"/>
      <c r="J1454" s="932"/>
      <c r="K1454" s="932"/>
      <c r="L1454" s="932"/>
      <c r="M1454" s="932"/>
      <c r="N1454" s="225"/>
    </row>
    <row r="1455" spans="1:69">
      <c r="A1455" s="224"/>
      <c r="B1455" s="24"/>
      <c r="C1455" s="24"/>
      <c r="D1455" s="24"/>
      <c r="E1455" s="24"/>
      <c r="F1455" s="24"/>
      <c r="G1455" s="24"/>
      <c r="H1455" s="340"/>
      <c r="I1455" s="932"/>
      <c r="J1455" s="932"/>
      <c r="K1455" s="932"/>
      <c r="L1455" s="932"/>
      <c r="M1455" s="932"/>
      <c r="N1455" s="225"/>
    </row>
    <row r="1456" spans="1:69">
      <c r="A1456" s="224"/>
      <c r="B1456" s="24"/>
      <c r="C1456" s="24"/>
      <c r="D1456" s="24"/>
      <c r="E1456" s="24"/>
      <c r="F1456" s="24"/>
      <c r="G1456" s="24"/>
      <c r="H1456" s="357">
        <v>2</v>
      </c>
      <c r="I1456" s="932" t="str">
        <f>IF(B$1233="",BM1456,BE1456)</f>
        <v>The less you depict their errors with IMMIGRATION as typical, the less guarded you get toward their views on IMMIGRATION.</v>
      </c>
      <c r="J1456" s="932"/>
      <c r="K1456" s="932"/>
      <c r="L1456" s="932"/>
      <c r="M1456" s="932"/>
      <c r="N1456" s="225"/>
      <c r="BD1456" s="2">
        <v>2</v>
      </c>
      <c r="BE1456" s="37" t="str">
        <f>CONCATENATE(BG1456,BH1456,BI1456,BJ1456,".")</f>
        <v>The less you depict their errors with IMMIGRATION as typical, the less guarded you get toward their views on IMMIGRATION.</v>
      </c>
      <c r="BF1456" s="47" t="s">
        <v>3</v>
      </c>
      <c r="BG1456" s="2" t="s">
        <v>835</v>
      </c>
      <c r="BH1456" s="2" t="str">
        <f>BH1452</f>
        <v>IMMIGRATION</v>
      </c>
      <c r="BI1456" s="2" t="s">
        <v>839</v>
      </c>
      <c r="BJ1456" s="2" t="str">
        <f>BH1456</f>
        <v>IMMIGRATION</v>
      </c>
      <c r="BM1456" s="2" t="str">
        <f>CONCATENATE(BN1456,BO1456,BP1456,BQ1456)</f>
        <v>The less you depict their errors with that issue as typical, the less guarded you get toward their views on that particular issue.</v>
      </c>
      <c r="BN1456" s="2" t="s">
        <v>785</v>
      </c>
      <c r="BO1456" s="2" t="s">
        <v>827</v>
      </c>
      <c r="BP1456" s="2" t="s">
        <v>811</v>
      </c>
      <c r="BQ1456" s="2" t="s">
        <v>828</v>
      </c>
    </row>
    <row r="1457" spans="1:69">
      <c r="A1457" s="224"/>
      <c r="B1457" s="24"/>
      <c r="C1457" s="24"/>
      <c r="D1457" s="24"/>
      <c r="E1457" s="24"/>
      <c r="F1457" s="24"/>
      <c r="G1457" s="24"/>
      <c r="H1457" s="358"/>
      <c r="I1457" s="932"/>
      <c r="J1457" s="932"/>
      <c r="K1457" s="932"/>
      <c r="L1457" s="932"/>
      <c r="M1457" s="932"/>
      <c r="N1457" s="225"/>
      <c r="BK1457" s="2" t="s">
        <v>730</v>
      </c>
    </row>
    <row r="1458" spans="1:69">
      <c r="A1458" s="224"/>
      <c r="B1458" s="24"/>
      <c r="C1458" s="24"/>
      <c r="D1458" s="24"/>
      <c r="E1458" s="24"/>
      <c r="F1458" s="24"/>
      <c r="G1458" s="24"/>
      <c r="H1458" s="357"/>
      <c r="I1458" s="932"/>
      <c r="J1458" s="932"/>
      <c r="K1458" s="932"/>
      <c r="L1458" s="932"/>
      <c r="M1458" s="932"/>
      <c r="N1458" s="225"/>
    </row>
    <row r="1459" spans="1:69">
      <c r="A1459" s="224"/>
      <c r="B1459" s="24"/>
      <c r="C1459" s="24"/>
      <c r="D1459" s="24"/>
      <c r="E1459" s="24"/>
      <c r="F1459" s="24"/>
      <c r="G1459" s="24"/>
      <c r="H1459" s="358"/>
      <c r="I1459" s="932"/>
      <c r="J1459" s="932"/>
      <c r="K1459" s="932"/>
      <c r="L1459" s="932"/>
      <c r="M1459" s="932"/>
      <c r="N1459" s="225"/>
    </row>
    <row r="1460" spans="1:69">
      <c r="A1460" s="224"/>
      <c r="B1460" s="24"/>
      <c r="C1460" s="24"/>
      <c r="D1460" s="24"/>
      <c r="E1460" s="24"/>
      <c r="F1460" s="24"/>
      <c r="G1460" s="24"/>
      <c r="H1460" s="357">
        <v>3</v>
      </c>
      <c r="I1460" s="932" t="str">
        <f>IF(B$1233="",BM1460,BE1460)</f>
        <v>The less guarded you get toward their views on IMMIGRATION the less they get defensive toward your views on IMMIGRATION.</v>
      </c>
      <c r="J1460" s="932"/>
      <c r="K1460" s="932"/>
      <c r="L1460" s="932"/>
      <c r="M1460" s="932"/>
      <c r="N1460" s="225"/>
      <c r="BD1460" s="2">
        <v>3</v>
      </c>
      <c r="BE1460" s="37" t="str">
        <f>CONCATENATE(BG1460,BH1460,BI1460,BJ1460,".")</f>
        <v>The less guarded you get toward their views on IMMIGRATION the less they get defensive toward your views on IMMIGRATION.</v>
      </c>
      <c r="BF1460" s="47" t="s">
        <v>3</v>
      </c>
      <c r="BG1460" s="2" t="s">
        <v>836</v>
      </c>
      <c r="BH1460" s="2" t="str">
        <f>BH1456</f>
        <v>IMMIGRATION</v>
      </c>
      <c r="BI1460" s="2" t="s">
        <v>840</v>
      </c>
      <c r="BJ1460" s="2" t="str">
        <f>BH1460</f>
        <v>IMMIGRATION</v>
      </c>
      <c r="BM1460" s="2" t="str">
        <f>CONCATENATE(BN1460,BO1460,BP1460,BQ1460)</f>
        <v>The less guarded you get toward their views on that political issue, the less they get defensive toward your views on that issue.</v>
      </c>
      <c r="BN1460" s="2" t="s">
        <v>785</v>
      </c>
      <c r="BO1460" s="2" t="s">
        <v>829</v>
      </c>
      <c r="BP1460" s="2" t="s">
        <v>811</v>
      </c>
      <c r="BQ1460" s="2" t="s">
        <v>830</v>
      </c>
    </row>
    <row r="1461" spans="1:69">
      <c r="A1461" s="224"/>
      <c r="B1461" s="24"/>
      <c r="C1461" s="24"/>
      <c r="D1461" s="24"/>
      <c r="E1461" s="24"/>
      <c r="F1461" s="24"/>
      <c r="G1461" s="24"/>
      <c r="H1461" s="358"/>
      <c r="I1461" s="932"/>
      <c r="J1461" s="932"/>
      <c r="K1461" s="932"/>
      <c r="L1461" s="932"/>
      <c r="M1461" s="932"/>
      <c r="N1461" s="225"/>
    </row>
    <row r="1462" spans="1:69">
      <c r="A1462" s="224"/>
      <c r="B1462" s="24"/>
      <c r="C1462" s="24"/>
      <c r="D1462" s="24"/>
      <c r="E1462" s="24"/>
      <c r="F1462" s="24"/>
      <c r="G1462" s="24"/>
      <c r="H1462" s="357"/>
      <c r="I1462" s="932"/>
      <c r="J1462" s="932"/>
      <c r="K1462" s="932"/>
      <c r="L1462" s="932"/>
      <c r="M1462" s="932"/>
      <c r="N1462" s="225"/>
    </row>
    <row r="1463" spans="1:69">
      <c r="A1463" s="224"/>
      <c r="B1463" s="24"/>
      <c r="C1463" s="24"/>
      <c r="D1463" s="24"/>
      <c r="E1463" s="24"/>
      <c r="F1463" s="24"/>
      <c r="G1463" s="24"/>
      <c r="H1463" s="358"/>
      <c r="I1463" s="932"/>
      <c r="J1463" s="932"/>
      <c r="K1463" s="932"/>
      <c r="L1463" s="932"/>
      <c r="M1463" s="932"/>
      <c r="N1463" s="225"/>
    </row>
    <row r="1464" spans="1:69">
      <c r="A1464" s="224"/>
      <c r="B1464" s="24"/>
      <c r="C1464" s="24"/>
      <c r="D1464" s="24"/>
      <c r="E1464" s="24"/>
      <c r="F1464" s="24"/>
      <c r="G1464" s="24"/>
      <c r="H1464" s="357">
        <v>4</v>
      </c>
      <c r="I1464" s="932" t="str">
        <f>IF(B$1233="",BM1464,BE1464)</f>
        <v>The less they get defensive toward your views on IMMIGRATION, the less you overstate their differences on IMMIGRATION.</v>
      </c>
      <c r="J1464" s="932"/>
      <c r="K1464" s="932"/>
      <c r="L1464" s="932"/>
      <c r="M1464" s="932"/>
      <c r="N1464" s="225"/>
      <c r="BD1464" s="2">
        <v>4</v>
      </c>
      <c r="BE1464" s="37" t="str">
        <f>CONCATENATE(BG1464,BH1464,BI1464,BJ1464,BK1464,".")</f>
        <v>The less they get defensive toward your views on IMMIGRATION, the less you overstate their differences on IMMIGRATION.</v>
      </c>
      <c r="BF1464" s="47" t="s">
        <v>3</v>
      </c>
      <c r="BG1464" s="2" t="s">
        <v>837</v>
      </c>
      <c r="BH1464" s="2" t="str">
        <f>BH1460</f>
        <v>IMMIGRATION</v>
      </c>
      <c r="BI1464" s="2" t="s">
        <v>841</v>
      </c>
      <c r="BJ1464" s="2" t="str">
        <f>BH1464</f>
        <v>IMMIGRATION</v>
      </c>
      <c r="BM1464" s="2" t="str">
        <f>CONCATENATE(BN1464,BO1464,BP1464,BQ1464)</f>
        <v>The less they get defensive toward you views on that political issue, the less you overstate their differences on that issue.</v>
      </c>
      <c r="BN1464" s="2" t="s">
        <v>785</v>
      </c>
      <c r="BO1464" s="2" t="s">
        <v>831</v>
      </c>
      <c r="BP1464" s="2" t="s">
        <v>811</v>
      </c>
      <c r="BQ1464" s="2" t="s">
        <v>832</v>
      </c>
    </row>
    <row r="1465" spans="1:69">
      <c r="A1465" s="224"/>
      <c r="B1465" s="24"/>
      <c r="C1465" s="24"/>
      <c r="D1465" s="24"/>
      <c r="E1465" s="24"/>
      <c r="F1465" s="24"/>
      <c r="G1465" s="24"/>
      <c r="H1465" s="358"/>
      <c r="I1465" s="932"/>
      <c r="J1465" s="932"/>
      <c r="K1465" s="932"/>
      <c r="L1465" s="932"/>
      <c r="M1465" s="932"/>
      <c r="N1465" s="225"/>
    </row>
    <row r="1466" spans="1:69">
      <c r="A1466" s="224"/>
      <c r="B1466" s="24"/>
      <c r="C1466" s="24"/>
      <c r="D1466" s="24"/>
      <c r="E1466" s="24"/>
      <c r="F1466" s="24"/>
      <c r="G1466" s="24"/>
      <c r="H1466" s="357"/>
      <c r="I1466" s="932"/>
      <c r="J1466" s="932"/>
      <c r="K1466" s="932"/>
      <c r="L1466" s="932"/>
      <c r="M1466" s="932"/>
      <c r="N1466" s="225"/>
    </row>
    <row r="1467" spans="1:69">
      <c r="A1467" s="224"/>
      <c r="B1467" s="24"/>
      <c r="C1467" s="24"/>
      <c r="D1467" s="24"/>
      <c r="E1467" s="24"/>
      <c r="F1467" s="24"/>
      <c r="G1467" s="24"/>
      <c r="H1467" s="358"/>
      <c r="I1467" s="932"/>
      <c r="J1467" s="932"/>
      <c r="K1467" s="932"/>
      <c r="L1467" s="932"/>
      <c r="M1467" s="932"/>
      <c r="N1467" s="225"/>
    </row>
    <row r="1468" spans="1:69">
      <c r="A1468" s="224"/>
      <c r="B1468" s="24"/>
      <c r="C1468" s="24"/>
      <c r="D1468" s="24"/>
      <c r="E1468" s="24"/>
      <c r="F1468" s="24"/>
      <c r="G1468" s="24"/>
      <c r="H1468" s="357">
        <v>5</v>
      </c>
      <c r="I1468" s="932" t="str">
        <f>IF(B$1233="",BM1468,BE1468)</f>
        <v>The less you overstate their differences on IMMIGRATION….</v>
      </c>
      <c r="J1468" s="932"/>
      <c r="K1468" s="932"/>
      <c r="L1468" s="932"/>
      <c r="M1468" s="932"/>
      <c r="N1468" s="225"/>
      <c r="BD1468" s="2">
        <v>5</v>
      </c>
      <c r="BE1468" s="37" t="str">
        <f>CONCATENATE(BG1468,BH1468,BI1468,BJ1468,".")</f>
        <v>The less you overstate their differences on IMMIGRATION….</v>
      </c>
      <c r="BF1468" s="47" t="s">
        <v>3</v>
      </c>
      <c r="BG1468" s="2" t="s">
        <v>834</v>
      </c>
      <c r="BH1468" s="2" t="str">
        <f>BH1464</f>
        <v>IMMIGRATION</v>
      </c>
      <c r="BI1468" s="2" t="s">
        <v>734</v>
      </c>
      <c r="BM1468" s="2" t="str">
        <f>CONCATENATE(BN1468,BO1468)</f>
        <v>The less more you overstate these differences on that issue…</v>
      </c>
      <c r="BN1468" s="2" t="s">
        <v>785</v>
      </c>
      <c r="BO1468" s="2" t="s">
        <v>833</v>
      </c>
    </row>
    <row r="1469" spans="1:69" ht="13.95" customHeight="1">
      <c r="A1469" s="224"/>
      <c r="B1469" s="24"/>
      <c r="C1469" s="24"/>
      <c r="D1469" s="24"/>
      <c r="E1469" s="24"/>
      <c r="F1469" s="24"/>
      <c r="G1469" s="24"/>
      <c r="H1469" s="357"/>
      <c r="I1469" s="932"/>
      <c r="J1469" s="932"/>
      <c r="K1469" s="932"/>
      <c r="L1469" s="932"/>
      <c r="M1469" s="932"/>
      <c r="N1469" s="225"/>
    </row>
    <row r="1470" spans="1:69">
      <c r="A1470" s="224"/>
      <c r="B1470" s="24"/>
      <c r="C1470" s="24"/>
      <c r="D1470" s="24"/>
      <c r="E1470" s="24"/>
      <c r="F1470" s="24"/>
      <c r="G1470" s="24"/>
      <c r="H1470" s="340"/>
      <c r="I1470" s="932"/>
      <c r="J1470" s="932"/>
      <c r="K1470" s="932"/>
      <c r="L1470" s="932"/>
      <c r="M1470" s="932"/>
      <c r="N1470" s="225"/>
    </row>
    <row r="1471" spans="1:69">
      <c r="A1471" s="226"/>
      <c r="B1471" s="231"/>
      <c r="C1471" s="231"/>
      <c r="D1471" s="231"/>
      <c r="E1471" s="231"/>
      <c r="F1471" s="231"/>
      <c r="G1471" s="231"/>
      <c r="H1471" s="342"/>
      <c r="I1471" s="231"/>
      <c r="J1471" s="231"/>
      <c r="K1471" s="231"/>
      <c r="L1471" s="231"/>
      <c r="M1471" s="231"/>
      <c r="N1471" s="228"/>
    </row>
    <row r="1472" spans="1:69" ht="30" customHeight="1">
      <c r="A1472" s="220" t="s">
        <v>1148</v>
      </c>
      <c r="B1472" s="914" t="s">
        <v>1213</v>
      </c>
      <c r="C1472" s="914"/>
      <c r="D1472" s="914"/>
      <c r="E1472" s="914"/>
      <c r="F1472" s="914"/>
      <c r="G1472" s="914"/>
      <c r="H1472" s="914"/>
      <c r="I1472" s="914"/>
      <c r="J1472" s="914"/>
      <c r="K1472" s="914"/>
      <c r="L1472" s="914"/>
      <c r="M1472" s="222"/>
      <c r="N1472" s="223" t="s">
        <v>1149</v>
      </c>
      <c r="BE1472" s="49" t="str">
        <f t="shared" ref="BE1472:BL1472" si="22">BE1388</f>
        <v>IMM</v>
      </c>
      <c r="BF1472" s="49" t="str">
        <f t="shared" si="22"/>
        <v>CLI</v>
      </c>
      <c r="BG1472" s="49" t="str">
        <f t="shared" si="22"/>
        <v>GUN</v>
      </c>
      <c r="BH1472" s="49" t="str">
        <f t="shared" si="22"/>
        <v>ABO</v>
      </c>
      <c r="BI1472" s="49" t="str">
        <f t="shared" si="22"/>
        <v>HEA</v>
      </c>
      <c r="BJ1472" s="49" t="str">
        <f t="shared" si="22"/>
        <v>CRI</v>
      </c>
      <c r="BK1472" s="49" t="str">
        <f t="shared" si="22"/>
        <v>ECO</v>
      </c>
      <c r="BL1472" s="49" t="str">
        <f t="shared" si="22"/>
        <v>RAC</v>
      </c>
      <c r="BM1472" s="47" t="s">
        <v>3</v>
      </c>
    </row>
    <row r="1473" spans="1:65" ht="15" customHeight="1">
      <c r="A1473" s="224"/>
      <c r="B1473" s="949" t="s">
        <v>1243</v>
      </c>
      <c r="C1473" s="949"/>
      <c r="D1473" s="949"/>
      <c r="E1473" s="949"/>
      <c r="F1473" s="949"/>
      <c r="G1473" s="949"/>
      <c r="H1473" s="949"/>
      <c r="I1473" s="949"/>
      <c r="J1473" s="949"/>
      <c r="K1473" s="949"/>
      <c r="L1473" s="949"/>
      <c r="M1473" s="949"/>
      <c r="N1473" s="225"/>
      <c r="BB1473" s="2" t="str">
        <f t="shared" ref="BB1473:BB1478" si="23">IF($C$1047=BB$1047,BE1473,IF($C$1047=BB$1048,BF1473,IF($C$1047=BB$1049,BG1473,IF($C$1047=BB$1050,BH1473,IF($C$1047=BB$1051,BI1473,IF($C$1047=BB$1052,BJ1473,IF($C$1047=BB$1053,BK1473,IF($C$1047=BB$1054,BL1473,""))))))))</f>
        <v xml:space="preserve">I affirm your need for secure borders. And thank you for any affirmation of our need to travel freely despite status. </v>
      </c>
      <c r="BD1473" s="131" t="s">
        <v>602</v>
      </c>
      <c r="BE1473" s="2" t="s">
        <v>895</v>
      </c>
      <c r="BF1473" s="2" t="s">
        <v>901</v>
      </c>
      <c r="BG1473" s="2" t="s">
        <v>904</v>
      </c>
      <c r="BH1473" s="2" t="s">
        <v>917</v>
      </c>
      <c r="BI1473" s="2" t="s">
        <v>922</v>
      </c>
      <c r="BJ1473" s="2" t="s">
        <v>929</v>
      </c>
      <c r="BK1473" s="2" t="s">
        <v>936</v>
      </c>
      <c r="BL1473" s="2" t="s">
        <v>941</v>
      </c>
      <c r="BM1473" s="47" t="s">
        <v>3</v>
      </c>
    </row>
    <row r="1474" spans="1:65" ht="13.2" customHeight="1">
      <c r="A1474" s="224"/>
      <c r="B1474" s="949"/>
      <c r="C1474" s="949"/>
      <c r="D1474" s="949"/>
      <c r="E1474" s="949"/>
      <c r="F1474" s="949"/>
      <c r="G1474" s="949"/>
      <c r="H1474" s="949"/>
      <c r="I1474" s="949"/>
      <c r="J1474" s="949"/>
      <c r="K1474" s="949"/>
      <c r="L1474" s="949"/>
      <c r="M1474" s="949"/>
      <c r="N1474" s="225"/>
      <c r="BB1474" s="2" t="str">
        <f t="shared" si="23"/>
        <v>I need you to feel the desperte needs of these migrants without painting them all as violent lawbreakers.</v>
      </c>
      <c r="BD1474" s="131" t="s">
        <v>911</v>
      </c>
      <c r="BE1474" s="2" t="s">
        <v>896</v>
      </c>
      <c r="BF1474" s="2" t="s">
        <v>901</v>
      </c>
      <c r="BG1474" s="2" t="s">
        <v>906</v>
      </c>
      <c r="BH1474" s="2" t="s">
        <v>918</v>
      </c>
      <c r="BI1474" s="2" t="s">
        <v>926</v>
      </c>
      <c r="BJ1474" s="2" t="s">
        <v>932</v>
      </c>
      <c r="BK1474" s="2" t="s">
        <v>937</v>
      </c>
      <c r="BL1474" s="2" t="s">
        <v>943</v>
      </c>
      <c r="BM1474" s="47" t="s">
        <v>3</v>
      </c>
    </row>
    <row r="1475" spans="1:65" ht="15.6" customHeight="1">
      <c r="A1475" s="224"/>
      <c r="B1475" s="949"/>
      <c r="C1475" s="949"/>
      <c r="D1475" s="949"/>
      <c r="E1475" s="949"/>
      <c r="F1475" s="949"/>
      <c r="G1475" s="949"/>
      <c r="H1475" s="949"/>
      <c r="I1475" s="949"/>
      <c r="J1475" s="949"/>
      <c r="K1475" s="949"/>
      <c r="L1475" s="949"/>
      <c r="M1475" s="949"/>
      <c r="N1475" s="225"/>
      <c r="BB1475" s="2" t="str">
        <f t="shared" si="23"/>
        <v>Perhaps we can do better to screen out the most violent of these migrants who exploit our generosity.</v>
      </c>
      <c r="BD1475" s="131" t="s">
        <v>909</v>
      </c>
      <c r="BE1475" s="2" t="s">
        <v>897</v>
      </c>
      <c r="BF1475" s="2" t="s">
        <v>902</v>
      </c>
      <c r="BG1475" s="2" t="s">
        <v>907</v>
      </c>
      <c r="BH1475" s="2" t="s">
        <v>920</v>
      </c>
      <c r="BI1475" s="2" t="s">
        <v>921</v>
      </c>
      <c r="BJ1475" s="2" t="s">
        <v>934</v>
      </c>
      <c r="BK1475" s="2" t="s">
        <v>939</v>
      </c>
      <c r="BL1475" s="2" t="s">
        <v>945</v>
      </c>
      <c r="BM1475" s="47" t="s">
        <v>3</v>
      </c>
    </row>
    <row r="1476" spans="1:65" ht="15.6" customHeight="1">
      <c r="A1476" s="224"/>
      <c r="B1476" s="949"/>
      <c r="C1476" s="949"/>
      <c r="D1476" s="949"/>
      <c r="E1476" s="949"/>
      <c r="F1476" s="949"/>
      <c r="G1476" s="949"/>
      <c r="H1476" s="949"/>
      <c r="I1476" s="949"/>
      <c r="J1476" s="949"/>
      <c r="K1476" s="949"/>
      <c r="L1476" s="949"/>
      <c r="M1476" s="949"/>
      <c r="N1476" s="225"/>
      <c r="BB1476" s="2" t="str">
        <f t="shared" si="23"/>
        <v>I affirm your need to help migrants flee violence potentially of our making. And thank you for affirming our need to not import such violence.</v>
      </c>
      <c r="BD1476" s="131" t="s">
        <v>604</v>
      </c>
      <c r="BE1476" s="2" t="s">
        <v>923</v>
      </c>
      <c r="BF1476" s="2" t="s">
        <v>916</v>
      </c>
      <c r="BG1476" s="2" t="s">
        <v>905</v>
      </c>
      <c r="BH1476" s="2" t="s">
        <v>915</v>
      </c>
      <c r="BI1476" s="2" t="s">
        <v>924</v>
      </c>
      <c r="BJ1476" s="2" t="s">
        <v>930</v>
      </c>
      <c r="BK1476" s="2" t="s">
        <v>935</v>
      </c>
      <c r="BL1476" s="2" t="s">
        <v>942</v>
      </c>
      <c r="BM1476" s="47" t="s">
        <v>3</v>
      </c>
    </row>
    <row r="1477" spans="1:65" ht="15.6" customHeight="1">
      <c r="A1477" s="224"/>
      <c r="B1477" s="917" t="s">
        <v>1242</v>
      </c>
      <c r="C1477" s="917"/>
      <c r="D1477" s="917"/>
      <c r="E1477" s="917"/>
      <c r="F1477" s="917"/>
      <c r="G1477" s="917"/>
      <c r="H1477" s="917"/>
      <c r="I1477" s="917"/>
      <c r="J1477" s="917"/>
      <c r="K1477" s="917"/>
      <c r="L1477" s="917"/>
      <c r="M1477" s="917"/>
      <c r="N1477" s="225"/>
      <c r="BB1477" s="2" t="str">
        <f t="shared" si="23"/>
        <v>I need you to feel the pain of families here who have lost a loved one due to violence from illegitimate migrants.</v>
      </c>
      <c r="BD1477" s="131" t="s">
        <v>912</v>
      </c>
      <c r="BE1477" s="2" t="s">
        <v>898</v>
      </c>
      <c r="BF1477" s="2" t="s">
        <v>900</v>
      </c>
      <c r="BG1477" s="2" t="s">
        <v>913</v>
      </c>
      <c r="BH1477" s="2" t="s">
        <v>919</v>
      </c>
      <c r="BI1477" s="2" t="s">
        <v>927</v>
      </c>
      <c r="BJ1477" s="2" t="s">
        <v>931</v>
      </c>
      <c r="BK1477" s="2" t="s">
        <v>938</v>
      </c>
      <c r="BL1477" s="2" t="s">
        <v>944</v>
      </c>
      <c r="BM1477" s="47" t="s">
        <v>3</v>
      </c>
    </row>
    <row r="1478" spans="1:65" ht="15.6" customHeight="1">
      <c r="A1478" s="224"/>
      <c r="B1478" s="917"/>
      <c r="C1478" s="917"/>
      <c r="D1478" s="917"/>
      <c r="E1478" s="917"/>
      <c r="F1478" s="917"/>
      <c r="G1478" s="917"/>
      <c r="H1478" s="917"/>
      <c r="I1478" s="917"/>
      <c r="J1478" s="917"/>
      <c r="K1478" s="917"/>
      <c r="L1478" s="917"/>
      <c r="M1478" s="917"/>
      <c r="N1478" s="225"/>
      <c r="BB1478" s="2" t="str">
        <f t="shared" si="23"/>
        <v>Perhaps we can do better to merit actual cases of migrants whose lives are at risk due to our actions.</v>
      </c>
      <c r="BD1478" s="131" t="s">
        <v>910</v>
      </c>
      <c r="BE1478" s="2" t="s">
        <v>899</v>
      </c>
      <c r="BF1478" s="2" t="s">
        <v>903</v>
      </c>
      <c r="BG1478" s="2" t="s">
        <v>908</v>
      </c>
      <c r="BH1478" s="2" t="s">
        <v>928</v>
      </c>
      <c r="BI1478" s="2" t="s">
        <v>925</v>
      </c>
      <c r="BJ1478" s="2" t="s">
        <v>933</v>
      </c>
      <c r="BK1478" s="2" t="s">
        <v>940</v>
      </c>
      <c r="BL1478" s="2" t="s">
        <v>946</v>
      </c>
      <c r="BM1478" s="47" t="s">
        <v>3</v>
      </c>
    </row>
    <row r="1479" spans="1:65" ht="14.4" customHeight="1">
      <c r="A1479" s="224"/>
      <c r="B1479" s="917"/>
      <c r="C1479" s="917"/>
      <c r="D1479" s="917"/>
      <c r="E1479" s="917"/>
      <c r="F1479" s="917"/>
      <c r="G1479" s="917"/>
      <c r="H1479" s="917"/>
      <c r="I1479" s="917"/>
      <c r="J1479" s="917"/>
      <c r="K1479" s="917"/>
      <c r="L1479" s="917"/>
      <c r="M1479" s="917"/>
      <c r="N1479" s="225"/>
    </row>
    <row r="1480" spans="1:65" ht="25.2" customHeight="1" thickBot="1">
      <c r="A1480" s="224"/>
      <c r="B1480" s="918"/>
      <c r="C1480" s="918"/>
      <c r="D1480" s="918"/>
      <c r="E1480" s="918"/>
      <c r="F1480" s="918"/>
      <c r="G1480" s="918"/>
      <c r="H1480" s="918"/>
      <c r="I1480" s="918"/>
      <c r="J1480" s="918"/>
      <c r="K1480" s="918"/>
      <c r="L1480" s="918"/>
      <c r="M1480" s="918"/>
      <c r="N1480" s="225"/>
    </row>
    <row r="1481" spans="1:65" ht="15" customHeight="1" thickTop="1">
      <c r="A1481" s="224"/>
      <c r="B1481" s="150"/>
      <c r="C1481" s="923" t="str">
        <f>IF(BB1473=0,"",BB1473)</f>
        <v xml:space="preserve">I affirm your need for secure borders. And thank you for any affirmation of our need to travel freely despite status. </v>
      </c>
      <c r="D1481" s="923"/>
      <c r="E1481" s="923"/>
      <c r="F1481" s="923"/>
      <c r="G1481" s="923"/>
      <c r="H1481" s="923"/>
      <c r="I1481" s="923"/>
      <c r="J1481" s="923"/>
      <c r="K1481" s="923"/>
      <c r="L1481" s="923"/>
      <c r="M1481" s="924"/>
      <c r="N1481" s="225"/>
    </row>
    <row r="1482" spans="1:65" ht="15" customHeight="1">
      <c r="A1482" s="224"/>
      <c r="B1482" s="151"/>
      <c r="C1482" s="925"/>
      <c r="D1482" s="925"/>
      <c r="E1482" s="925"/>
      <c r="F1482" s="925"/>
      <c r="G1482" s="925"/>
      <c r="H1482" s="925"/>
      <c r="I1482" s="925"/>
      <c r="J1482" s="925"/>
      <c r="K1482" s="925"/>
      <c r="L1482" s="925"/>
      <c r="M1482" s="926"/>
      <c r="N1482" s="225"/>
      <c r="BE1482" s="159" t="s">
        <v>985</v>
      </c>
    </row>
    <row r="1483" spans="1:65" ht="15" customHeight="1" thickBot="1">
      <c r="A1483" s="224"/>
      <c r="B1483" s="152"/>
      <c r="C1483" s="927"/>
      <c r="D1483" s="927"/>
      <c r="E1483" s="927"/>
      <c r="F1483" s="927"/>
      <c r="G1483" s="927"/>
      <c r="H1483" s="927"/>
      <c r="I1483" s="927"/>
      <c r="J1483" s="927"/>
      <c r="K1483" s="927"/>
      <c r="L1483" s="927"/>
      <c r="M1483" s="928"/>
      <c r="N1483" s="225"/>
      <c r="BE1483" s="159" t="s">
        <v>986</v>
      </c>
    </row>
    <row r="1484" spans="1:65" ht="15" customHeight="1" thickTop="1">
      <c r="A1484" s="224"/>
      <c r="B1484" s="150"/>
      <c r="C1484" s="923" t="str">
        <f>IF(BB1474=0,"",BB1474)</f>
        <v>I need you to feel the desperte needs of these migrants without painting them all as violent lawbreakers.</v>
      </c>
      <c r="D1484" s="923"/>
      <c r="E1484" s="923"/>
      <c r="F1484" s="923"/>
      <c r="G1484" s="923"/>
      <c r="H1484" s="923"/>
      <c r="I1484" s="923"/>
      <c r="J1484" s="923"/>
      <c r="K1484" s="923"/>
      <c r="L1484" s="923"/>
      <c r="M1484" s="924"/>
      <c r="N1484" s="225"/>
      <c r="BE1484" s="159" t="s">
        <v>984</v>
      </c>
    </row>
    <row r="1485" spans="1:65" ht="15" customHeight="1">
      <c r="A1485" s="224"/>
      <c r="B1485" s="153"/>
      <c r="C1485" s="925"/>
      <c r="D1485" s="925"/>
      <c r="E1485" s="925"/>
      <c r="F1485" s="925"/>
      <c r="G1485" s="925"/>
      <c r="H1485" s="925"/>
      <c r="I1485" s="925"/>
      <c r="J1485" s="925"/>
      <c r="K1485" s="925"/>
      <c r="L1485" s="925"/>
      <c r="M1485" s="926"/>
      <c r="N1485" s="225"/>
      <c r="BE1485" s="159" t="s">
        <v>987</v>
      </c>
    </row>
    <row r="1486" spans="1:65" ht="15" customHeight="1" thickBot="1">
      <c r="A1486" s="224"/>
      <c r="B1486" s="152"/>
      <c r="C1486" s="927"/>
      <c r="D1486" s="927"/>
      <c r="E1486" s="927"/>
      <c r="F1486" s="927"/>
      <c r="G1486" s="927"/>
      <c r="H1486" s="927"/>
      <c r="I1486" s="927"/>
      <c r="J1486" s="927"/>
      <c r="K1486" s="927"/>
      <c r="L1486" s="927"/>
      <c r="M1486" s="928"/>
      <c r="N1486" s="225"/>
      <c r="BE1486" s="159" t="s">
        <v>988</v>
      </c>
    </row>
    <row r="1487" spans="1:65" ht="15" customHeight="1" thickTop="1">
      <c r="A1487" s="224"/>
      <c r="B1487" s="150"/>
      <c r="C1487" s="923" t="str">
        <f>IF(BB1475=0,"",BB1475)</f>
        <v>Perhaps we can do better to screen out the most violent of these migrants who exploit our generosity.</v>
      </c>
      <c r="D1487" s="923"/>
      <c r="E1487" s="923"/>
      <c r="F1487" s="923"/>
      <c r="G1487" s="923"/>
      <c r="H1487" s="923"/>
      <c r="I1487" s="923"/>
      <c r="J1487" s="923"/>
      <c r="K1487" s="923"/>
      <c r="L1487" s="923"/>
      <c r="M1487" s="924"/>
      <c r="N1487" s="225"/>
    </row>
    <row r="1488" spans="1:65" ht="15" customHeight="1">
      <c r="A1488" s="224"/>
      <c r="B1488" s="151"/>
      <c r="C1488" s="925"/>
      <c r="D1488" s="925"/>
      <c r="E1488" s="925"/>
      <c r="F1488" s="925"/>
      <c r="G1488" s="925"/>
      <c r="H1488" s="925"/>
      <c r="I1488" s="925"/>
      <c r="J1488" s="925"/>
      <c r="K1488" s="925"/>
      <c r="L1488" s="925"/>
      <c r="M1488" s="926"/>
      <c r="N1488" s="225"/>
    </row>
    <row r="1489" spans="1:63" ht="15" customHeight="1" thickBot="1">
      <c r="A1489" s="224"/>
      <c r="B1489" s="152"/>
      <c r="C1489" s="927"/>
      <c r="D1489" s="927"/>
      <c r="E1489" s="927"/>
      <c r="F1489" s="927"/>
      <c r="G1489" s="927"/>
      <c r="H1489" s="927"/>
      <c r="I1489" s="927"/>
      <c r="J1489" s="927"/>
      <c r="K1489" s="927"/>
      <c r="L1489" s="927"/>
      <c r="M1489" s="928"/>
      <c r="N1489" s="225"/>
    </row>
    <row r="1490" spans="1:63" ht="10.199999999999999" customHeight="1" thickTop="1" thickBot="1">
      <c r="A1490" s="224"/>
      <c r="B1490" s="24"/>
      <c r="C1490" s="24"/>
      <c r="D1490" s="24"/>
      <c r="E1490" s="24"/>
      <c r="F1490" s="24"/>
      <c r="G1490" s="24"/>
      <c r="H1490" s="340"/>
      <c r="I1490" s="24"/>
      <c r="J1490" s="24"/>
      <c r="K1490" s="24"/>
      <c r="L1490" s="24"/>
      <c r="M1490" s="24"/>
      <c r="N1490" s="225"/>
      <c r="BF1490" s="37" t="str">
        <f>BF1402</f>
        <v>immigration</v>
      </c>
    </row>
    <row r="1491" spans="1:63" ht="15" customHeight="1" thickTop="1">
      <c r="A1491" s="224"/>
      <c r="B1491" s="147"/>
      <c r="C1491" s="938" t="str">
        <f>IF(BB1476=0,"",BB1476)</f>
        <v>I affirm your need to help migrants flee violence potentially of our making. And thank you for affirming our need to not import such violence.</v>
      </c>
      <c r="D1491" s="938"/>
      <c r="E1491" s="938"/>
      <c r="F1491" s="938"/>
      <c r="G1491" s="938"/>
      <c r="H1491" s="938"/>
      <c r="I1491" s="938"/>
      <c r="J1491" s="938"/>
      <c r="K1491" s="938"/>
      <c r="L1491" s="938"/>
      <c r="M1491" s="939"/>
      <c r="N1491" s="225"/>
      <c r="BC1491" s="2" t="str">
        <f>IF(OR(B$1233=0,B$1233=""),"",CONCATENATE(BE1491,BF1491,BG1491))</f>
        <v>This helps me replace fighting with appreciation for the other's immigration position.</v>
      </c>
      <c r="BE1491" s="2" t="s">
        <v>1027</v>
      </c>
      <c r="BF1491" s="2" t="str">
        <f>BF1490</f>
        <v>immigration</v>
      </c>
      <c r="BG1491" s="2" t="s">
        <v>1028</v>
      </c>
    </row>
    <row r="1492" spans="1:63" ht="15" customHeight="1">
      <c r="A1492" s="224"/>
      <c r="B1492" s="148"/>
      <c r="C1492" s="940"/>
      <c r="D1492" s="940"/>
      <c r="E1492" s="940"/>
      <c r="F1492" s="940"/>
      <c r="G1492" s="940"/>
      <c r="H1492" s="940"/>
      <c r="I1492" s="940"/>
      <c r="J1492" s="940"/>
      <c r="K1492" s="940"/>
      <c r="L1492" s="940"/>
      <c r="M1492" s="941"/>
      <c r="N1492" s="225"/>
      <c r="BC1492" s="2" t="str">
        <f>IF(OR(B$1233=0,B$1233=""),"",CONCATENATE(BE1492,BF1492,BG1492))</f>
        <v xml:space="preserve">I can cease exaggerating about the apparent worst of the opposing immigration view. </v>
      </c>
      <c r="BE1492" s="2" t="s">
        <v>1029</v>
      </c>
      <c r="BF1492" s="2" t="str">
        <f>BF1491</f>
        <v>immigration</v>
      </c>
      <c r="BG1492" s="47" t="s">
        <v>1014</v>
      </c>
    </row>
    <row r="1493" spans="1:63" ht="15" customHeight="1" thickBot="1">
      <c r="A1493" s="224"/>
      <c r="B1493" s="149"/>
      <c r="C1493" s="942"/>
      <c r="D1493" s="942"/>
      <c r="E1493" s="942"/>
      <c r="F1493" s="942"/>
      <c r="G1493" s="942"/>
      <c r="H1493" s="942"/>
      <c r="I1493" s="942"/>
      <c r="J1493" s="942"/>
      <c r="K1493" s="942"/>
      <c r="L1493" s="942"/>
      <c r="M1493" s="943"/>
      <c r="N1493" s="225"/>
      <c r="BC1493" s="2" t="str">
        <f>IF(OR(B$1233=0,B$1233=""),"",CONCATENATE(BE1493,BF1493,BG1493))</f>
        <v>I can replace defensiveness with mutual value for resolving each other's immigration needs.</v>
      </c>
      <c r="BE1493" s="2" t="s">
        <v>1030</v>
      </c>
      <c r="BF1493" s="2" t="str">
        <f>BF1492</f>
        <v>immigration</v>
      </c>
      <c r="BG1493" s="2" t="s">
        <v>1031</v>
      </c>
    </row>
    <row r="1494" spans="1:63" ht="15" customHeight="1" thickTop="1">
      <c r="A1494" s="224"/>
      <c r="B1494" s="147"/>
      <c r="C1494" s="938" t="str">
        <f>IF(BB1477=0,"",BB1477)</f>
        <v>I need you to feel the pain of families here who have lost a loved one due to violence from illegitimate migrants.</v>
      </c>
      <c r="D1494" s="938"/>
      <c r="E1494" s="938"/>
      <c r="F1494" s="938"/>
      <c r="G1494" s="938"/>
      <c r="H1494" s="938"/>
      <c r="I1494" s="938"/>
      <c r="J1494" s="938"/>
      <c r="K1494" s="938"/>
      <c r="L1494" s="938"/>
      <c r="M1494" s="939"/>
      <c r="N1494" s="225"/>
    </row>
    <row r="1495" spans="1:63" ht="15" customHeight="1">
      <c r="A1495" s="224"/>
      <c r="B1495" s="148"/>
      <c r="C1495" s="940"/>
      <c r="D1495" s="940"/>
      <c r="E1495" s="940"/>
      <c r="F1495" s="940"/>
      <c r="G1495" s="940"/>
      <c r="H1495" s="940"/>
      <c r="I1495" s="940"/>
      <c r="J1495" s="940"/>
      <c r="K1495" s="940"/>
      <c r="L1495" s="940"/>
      <c r="M1495" s="941"/>
      <c r="N1495" s="225"/>
      <c r="BG1495" s="2" t="s">
        <v>990</v>
      </c>
      <c r="BH1495" s="2" t="s">
        <v>718</v>
      </c>
      <c r="BI1495" s="2" t="s">
        <v>999</v>
      </c>
      <c r="BJ1495" s="2" t="s">
        <v>720</v>
      </c>
      <c r="BK1495" s="2" t="s">
        <v>989</v>
      </c>
    </row>
    <row r="1496" spans="1:63" ht="15" customHeight="1" thickBot="1">
      <c r="A1496" s="224"/>
      <c r="B1496" s="149"/>
      <c r="C1496" s="942"/>
      <c r="D1496" s="942"/>
      <c r="E1496" s="942"/>
      <c r="F1496" s="942"/>
      <c r="G1496" s="942"/>
      <c r="H1496" s="942"/>
      <c r="I1496" s="942"/>
      <c r="J1496" s="942"/>
      <c r="K1496" s="942"/>
      <c r="L1496" s="942"/>
      <c r="M1496" s="943"/>
      <c r="N1496" s="225"/>
    </row>
    <row r="1497" spans="1:63" ht="15" customHeight="1" thickTop="1">
      <c r="A1497" s="224"/>
      <c r="B1497" s="147"/>
      <c r="C1497" s="938" t="str">
        <f>IF(BB1478=0,"",BB1478)</f>
        <v>Perhaps we can do better to merit actual cases of migrants whose lives are at risk due to our actions.</v>
      </c>
      <c r="D1497" s="938"/>
      <c r="E1497" s="938"/>
      <c r="F1497" s="938"/>
      <c r="G1497" s="938"/>
      <c r="H1497" s="938"/>
      <c r="I1497" s="938"/>
      <c r="J1497" s="938"/>
      <c r="K1497" s="938"/>
      <c r="L1497" s="938"/>
      <c r="M1497" s="939"/>
      <c r="N1497" s="225"/>
      <c r="BF1497" s="2">
        <v>15</v>
      </c>
      <c r="BG1497" s="2">
        <f>BF1497-3</f>
        <v>12</v>
      </c>
      <c r="BH1497" s="2">
        <f>BG1497-3</f>
        <v>9</v>
      </c>
      <c r="BI1497" s="2">
        <f>BH1497-3</f>
        <v>6</v>
      </c>
      <c r="BJ1497" s="2">
        <f>BI1497-3</f>
        <v>3</v>
      </c>
      <c r="BK1497" s="2">
        <f>BJ1497-3</f>
        <v>0</v>
      </c>
    </row>
    <row r="1498" spans="1:63" ht="15" customHeight="1">
      <c r="A1498" s="224"/>
      <c r="B1498" s="148"/>
      <c r="C1498" s="940"/>
      <c r="D1498" s="940"/>
      <c r="E1498" s="940"/>
      <c r="F1498" s="940"/>
      <c r="G1498" s="940"/>
      <c r="H1498" s="940"/>
      <c r="I1498" s="940"/>
      <c r="J1498" s="940"/>
      <c r="K1498" s="940"/>
      <c r="L1498" s="940"/>
      <c r="M1498" s="941"/>
      <c r="N1498" s="225"/>
      <c r="BE1498" s="2">
        <f>IF(I1502=BE$1301,5,IF(I1502=BE$1302,4,IF(I1502=BE$1303,3,IF(I1502=BE$1304,2,IF(I1502=BE$1305,1,0)))))</f>
        <v>0</v>
      </c>
    </row>
    <row r="1499" spans="1:63" ht="15" customHeight="1" thickBot="1">
      <c r="A1499" s="224"/>
      <c r="B1499" s="149"/>
      <c r="C1499" s="942"/>
      <c r="D1499" s="942"/>
      <c r="E1499" s="942"/>
      <c r="F1499" s="942"/>
      <c r="G1499" s="942"/>
      <c r="H1499" s="942"/>
      <c r="I1499" s="942"/>
      <c r="J1499" s="942"/>
      <c r="K1499" s="942"/>
      <c r="L1499" s="942"/>
      <c r="M1499" s="943"/>
      <c r="N1499" s="225"/>
      <c r="BE1499" s="2">
        <f>IF(I1504=BE$1301,5,IF(I1504=BE$1302,4,IF(I1504=BE$1303,3,IF(I1504=BE$1304,2,IF(I1504=BE$1305,1,0)))))</f>
        <v>0</v>
      </c>
    </row>
    <row r="1500" spans="1:63" ht="10.199999999999999" customHeight="1" thickTop="1">
      <c r="A1500" s="224"/>
      <c r="B1500" s="24"/>
      <c r="C1500" s="24"/>
      <c r="D1500" s="24"/>
      <c r="E1500" s="24"/>
      <c r="F1500" s="24"/>
      <c r="G1500" s="24"/>
      <c r="H1500" s="340"/>
      <c r="I1500" s="24"/>
      <c r="J1500" s="24"/>
      <c r="K1500" s="24"/>
      <c r="L1500" s="24"/>
      <c r="M1500" s="24"/>
      <c r="N1500" s="225"/>
      <c r="BE1500" s="2">
        <f>IF(I1506=BE$1301,5,IF(I1506=BE$1302,4,IF(I1506=BE$1303,3,IF(I1506=BE$1304,2,IF(I1506=BE$1305,1,0)))))</f>
        <v>0</v>
      </c>
    </row>
    <row r="1501" spans="1:63" ht="10.199999999999999" customHeight="1" thickBot="1">
      <c r="A1501" s="224"/>
      <c r="B1501" s="24"/>
      <c r="C1501" s="24"/>
      <c r="D1501" s="24"/>
      <c r="E1501" s="24"/>
      <c r="F1501" s="24"/>
      <c r="G1501" s="24"/>
      <c r="H1501" s="340"/>
      <c r="I1501" s="24"/>
      <c r="J1501" s="24"/>
      <c r="K1501" s="24"/>
      <c r="L1501" s="24"/>
      <c r="M1501" s="24"/>
      <c r="N1501" s="225"/>
      <c r="BE1501" s="37">
        <f>SUM(BE1498:BE1500)</f>
        <v>0</v>
      </c>
    </row>
    <row r="1502" spans="1:63" ht="16.95" customHeight="1">
      <c r="A1502" s="224"/>
      <c r="B1502" s="936" t="str">
        <f>BC1491</f>
        <v>This helps me replace fighting with appreciation for the other's immigration position.</v>
      </c>
      <c r="C1502" s="936"/>
      <c r="D1502" s="936"/>
      <c r="E1502" s="936"/>
      <c r="F1502" s="936"/>
      <c r="G1502" s="936"/>
      <c r="H1502" s="937"/>
      <c r="I1502" s="919"/>
      <c r="J1502" s="919"/>
      <c r="K1502" s="919"/>
      <c r="L1502" s="919"/>
      <c r="M1502" s="920"/>
      <c r="N1502" s="225"/>
      <c r="BE1502" s="37" t="str">
        <f>IF(AND(BE1501&gt;=BK1497,BE1501&lt;BJ1497),BK1495,IF(AND(BE1501&gt;=BJ1497,BE1501&lt;BI1497),BJ1495,IF(AND(BE1501&gt;=BI1497,BE1501&lt;BH1497),BI1495,IF(AND(BE1501&gt;=BH1497,BE1501&lt;BG1497),BH1495,IF(AND(BE1501&gt;=BG1497,BE1501&lt;=BF1497),BG1495)))))</f>
        <v>low</v>
      </c>
    </row>
    <row r="1503" spans="1:63" ht="16.95" customHeight="1" thickBot="1">
      <c r="A1503" s="224"/>
      <c r="B1503" s="936"/>
      <c r="C1503" s="936"/>
      <c r="D1503" s="936"/>
      <c r="E1503" s="936"/>
      <c r="F1503" s="936"/>
      <c r="G1503" s="936"/>
      <c r="H1503" s="937"/>
      <c r="I1503" s="921"/>
      <c r="J1503" s="921"/>
      <c r="K1503" s="921"/>
      <c r="L1503" s="921"/>
      <c r="M1503" s="922"/>
      <c r="N1503" s="225"/>
    </row>
    <row r="1504" spans="1:63" ht="16.95" customHeight="1">
      <c r="A1504" s="224"/>
      <c r="B1504" s="936" t="str">
        <f>BC1492</f>
        <v xml:space="preserve">I can cease exaggerating about the apparent worst of the opposing immigration view. </v>
      </c>
      <c r="C1504" s="936"/>
      <c r="D1504" s="936"/>
      <c r="E1504" s="936"/>
      <c r="F1504" s="936"/>
      <c r="G1504" s="936"/>
      <c r="H1504" s="937"/>
      <c r="I1504" s="919"/>
      <c r="J1504" s="919"/>
      <c r="K1504" s="919"/>
      <c r="L1504" s="919"/>
      <c r="M1504" s="920"/>
      <c r="N1504" s="225"/>
      <c r="BC1504" s="2" t="str">
        <f>IF(BE1498=0,"",CONCATENATE(BE1504,BF1504,BG1504,BH1504,BI1504,BJ1504))</f>
        <v/>
      </c>
      <c r="BE1504" s="2" t="s">
        <v>1000</v>
      </c>
      <c r="BF1504" s="2" t="str">
        <f>BE1502</f>
        <v>low</v>
      </c>
      <c r="BG1504" s="2" t="s">
        <v>1032</v>
      </c>
      <c r="BH1504" s="2" t="s">
        <v>1033</v>
      </c>
      <c r="BI1504" s="2" t="str">
        <f>IF($B$1233="","",$BF$1307)</f>
        <v>immigration</v>
      </c>
      <c r="BJ1504" s="2" t="s">
        <v>1003</v>
      </c>
    </row>
    <row r="1505" spans="1:65" ht="16.95" customHeight="1" thickBot="1">
      <c r="A1505" s="224"/>
      <c r="B1505" s="936"/>
      <c r="C1505" s="936"/>
      <c r="D1505" s="936"/>
      <c r="E1505" s="936"/>
      <c r="F1505" s="936"/>
      <c r="G1505" s="936"/>
      <c r="H1505" s="937"/>
      <c r="I1505" s="921"/>
      <c r="J1505" s="921"/>
      <c r="K1505" s="921"/>
      <c r="L1505" s="921"/>
      <c r="M1505" s="922"/>
      <c r="N1505" s="225"/>
      <c r="BC1505" s="2" t="str">
        <f>IF(BE1499=0,"",CONCATENATE(BE1505,BF1505,BG1505,BH1505,BI1505))</f>
        <v/>
      </c>
      <c r="BE1505" s="2" t="s">
        <v>1034</v>
      </c>
      <c r="BF1505" s="2" t="str">
        <f>IF($B$1233="","",$BF$1307)</f>
        <v>immigration</v>
      </c>
      <c r="BG1505" s="47" t="s">
        <v>1035</v>
      </c>
    </row>
    <row r="1506" spans="1:65" ht="16.95" customHeight="1">
      <c r="A1506" s="224"/>
      <c r="B1506" s="936" t="str">
        <f>BC1493</f>
        <v>I can replace defensiveness with mutual value for resolving each other's immigration needs.</v>
      </c>
      <c r="C1506" s="936"/>
      <c r="D1506" s="936"/>
      <c r="E1506" s="936"/>
      <c r="F1506" s="936"/>
      <c r="G1506" s="936"/>
      <c r="H1506" s="937"/>
      <c r="I1506" s="919"/>
      <c r="J1506" s="919"/>
      <c r="K1506" s="919"/>
      <c r="L1506" s="919"/>
      <c r="M1506" s="920"/>
      <c r="N1506" s="225"/>
      <c r="BC1506" s="2" t="str">
        <f>IF(BE1500=0,"",CONCATENATE(BE1506,BF1506,BG1506,BH1506,BI1506,BJ1506))</f>
        <v/>
      </c>
      <c r="BE1506" s="2" t="s">
        <v>1036</v>
      </c>
      <c r="BF1506" s="2" t="str">
        <f>IF($B$1233="","",$BF$1307)</f>
        <v>immigration</v>
      </c>
      <c r="BG1506" s="2" t="s">
        <v>1003</v>
      </c>
      <c r="BJ1506" s="2" t="s">
        <v>1004</v>
      </c>
    </row>
    <row r="1507" spans="1:65" ht="16.95" customHeight="1" thickBot="1">
      <c r="A1507" s="224"/>
      <c r="B1507" s="936"/>
      <c r="C1507" s="936"/>
      <c r="D1507" s="936"/>
      <c r="E1507" s="936"/>
      <c r="F1507" s="936"/>
      <c r="G1507" s="936"/>
      <c r="H1507" s="937"/>
      <c r="I1507" s="921"/>
      <c r="J1507" s="921"/>
      <c r="K1507" s="921"/>
      <c r="L1507" s="921"/>
      <c r="M1507" s="922"/>
      <c r="N1507" s="225"/>
      <c r="BC1507" s="2" t="str">
        <f>CONCATENATE(BE1507,BF1507,BG1507,BH1507,BI1507)</f>
        <v>Are you ready to honor needs without alienating laws about immigration? After choosing an issue, select above how well you can agree with these radically different approaches to immigration politics. Replace being led with taking the lead.</v>
      </c>
      <c r="BE1507" s="2" t="s">
        <v>1016</v>
      </c>
      <c r="BF1507" s="2" t="str">
        <f>IF(OR($B$1233=0,$B$1233=""),"politicized issues",$BF$1307)</f>
        <v>immigration</v>
      </c>
      <c r="BG1507" s="2" t="s">
        <v>1015</v>
      </c>
      <c r="BH1507" s="2" t="str">
        <f>IF($B$1233="","",$BF$1307)</f>
        <v>immigration</v>
      </c>
      <c r="BI1507" s="2" t="s">
        <v>1011</v>
      </c>
    </row>
    <row r="1508" spans="1:65" ht="10.199999999999999" customHeight="1">
      <c r="A1508" s="224"/>
      <c r="B1508" s="24"/>
      <c r="C1508" s="24"/>
      <c r="D1508" s="24"/>
      <c r="E1508" s="24"/>
      <c r="F1508" s="24"/>
      <c r="G1508" s="24"/>
      <c r="H1508" s="340"/>
      <c r="I1508" s="24"/>
      <c r="J1508" s="24"/>
      <c r="K1508" s="24"/>
      <c r="L1508" s="24"/>
      <c r="M1508" s="24"/>
      <c r="N1508" s="225"/>
      <c r="BC1508" s="2" t="str">
        <f>CONCATENATE(BC1504,BC1505,BC1506)</f>
        <v/>
      </c>
    </row>
    <row r="1509" spans="1:65" ht="15" customHeight="1">
      <c r="A1509" s="224"/>
      <c r="B1509" s="935" t="str">
        <f>BC1509</f>
        <v>Are you ready to honor needs without alienating laws about immigration? After choosing an issue, select above how well you can agree with these radically different approaches to immigration politics. Replace being led with taking the lead.</v>
      </c>
      <c r="C1509" s="935"/>
      <c r="D1509" s="935"/>
      <c r="E1509" s="935"/>
      <c r="F1509" s="935"/>
      <c r="G1509" s="935"/>
      <c r="H1509" s="935"/>
      <c r="I1509" s="935"/>
      <c r="J1509" s="935"/>
      <c r="K1509" s="935"/>
      <c r="L1509" s="935"/>
      <c r="M1509" s="935"/>
      <c r="N1509" s="225"/>
      <c r="BC1509" s="2" t="str">
        <f>IF(BE1501=0,BC1507,BC1508)</f>
        <v>Are you ready to honor needs without alienating laws about immigration? After choosing an issue, select above how well you can agree with these radically different approaches to immigration politics. Replace being led with taking the lead.</v>
      </c>
    </row>
    <row r="1510" spans="1:65" ht="15" customHeight="1">
      <c r="A1510" s="224"/>
      <c r="B1510" s="935"/>
      <c r="C1510" s="935"/>
      <c r="D1510" s="935"/>
      <c r="E1510" s="935"/>
      <c r="F1510" s="935"/>
      <c r="G1510" s="935"/>
      <c r="H1510" s="935"/>
      <c r="I1510" s="935"/>
      <c r="J1510" s="935"/>
      <c r="K1510" s="935"/>
      <c r="L1510" s="935"/>
      <c r="M1510" s="935"/>
      <c r="N1510" s="225"/>
    </row>
    <row r="1511" spans="1:65" ht="15" customHeight="1">
      <c r="A1511" s="224"/>
      <c r="B1511" s="935"/>
      <c r="C1511" s="935"/>
      <c r="D1511" s="935"/>
      <c r="E1511" s="935"/>
      <c r="F1511" s="935"/>
      <c r="G1511" s="935"/>
      <c r="H1511" s="935"/>
      <c r="I1511" s="935"/>
      <c r="J1511" s="935"/>
      <c r="K1511" s="935"/>
      <c r="L1511" s="935"/>
      <c r="M1511" s="935"/>
      <c r="N1511" s="225"/>
    </row>
    <row r="1512" spans="1:65" ht="15" customHeight="1">
      <c r="A1512" s="224"/>
      <c r="B1512" s="935"/>
      <c r="C1512" s="935"/>
      <c r="D1512" s="935"/>
      <c r="E1512" s="935"/>
      <c r="F1512" s="935"/>
      <c r="G1512" s="935"/>
      <c r="H1512" s="935"/>
      <c r="I1512" s="935"/>
      <c r="J1512" s="935"/>
      <c r="K1512" s="935"/>
      <c r="L1512" s="935"/>
      <c r="M1512" s="935"/>
      <c r="N1512" s="225"/>
    </row>
    <row r="1513" spans="1:65" ht="15" customHeight="1">
      <c r="A1513" s="224"/>
      <c r="B1513" s="935"/>
      <c r="C1513" s="935"/>
      <c r="D1513" s="935"/>
      <c r="E1513" s="935"/>
      <c r="F1513" s="935"/>
      <c r="G1513" s="935"/>
      <c r="H1513" s="935"/>
      <c r="I1513" s="935"/>
      <c r="J1513" s="935"/>
      <c r="K1513" s="935"/>
      <c r="L1513" s="935"/>
      <c r="M1513" s="935"/>
      <c r="N1513" s="225"/>
    </row>
    <row r="1514" spans="1:65" ht="15" customHeight="1">
      <c r="A1514" s="224"/>
      <c r="B1514" s="935"/>
      <c r="C1514" s="935"/>
      <c r="D1514" s="935"/>
      <c r="E1514" s="935"/>
      <c r="F1514" s="935"/>
      <c r="G1514" s="935"/>
      <c r="H1514" s="935"/>
      <c r="I1514" s="935"/>
      <c r="J1514" s="935"/>
      <c r="K1514" s="935"/>
      <c r="L1514" s="935"/>
      <c r="M1514" s="935"/>
      <c r="N1514" s="225"/>
    </row>
    <row r="1515" spans="1:65" ht="15" customHeight="1">
      <c r="A1515" s="226"/>
      <c r="B1515" s="227"/>
      <c r="C1515" s="227"/>
      <c r="D1515" s="227"/>
      <c r="E1515" s="227"/>
      <c r="F1515" s="227"/>
      <c r="G1515" s="227"/>
      <c r="H1515" s="361"/>
      <c r="I1515" s="227"/>
      <c r="J1515" s="227"/>
      <c r="K1515" s="227"/>
      <c r="L1515" s="227"/>
      <c r="M1515" s="227"/>
      <c r="N1515" s="228"/>
    </row>
    <row r="1516" spans="1:65" ht="30" customHeight="1">
      <c r="A1516" s="214" t="s">
        <v>1148</v>
      </c>
      <c r="B1516" s="911" t="s">
        <v>1135</v>
      </c>
      <c r="C1516" s="911"/>
      <c r="D1516" s="911"/>
      <c r="E1516" s="215"/>
      <c r="F1516" s="215"/>
      <c r="G1516" s="215"/>
      <c r="H1516" s="362"/>
      <c r="I1516" s="215"/>
      <c r="J1516" s="215"/>
      <c r="K1516" s="215"/>
      <c r="L1516" s="215"/>
      <c r="M1516" s="216"/>
      <c r="N1516" s="217" t="s">
        <v>1154</v>
      </c>
    </row>
    <row r="1517" spans="1:65" ht="10.199999999999999" customHeight="1">
      <c r="A1517" s="218"/>
      <c r="B1517" s="189"/>
      <c r="C1517" s="189"/>
      <c r="D1517" s="189"/>
      <c r="E1517" s="189"/>
      <c r="F1517" s="189"/>
      <c r="G1517" s="189"/>
      <c r="H1517" s="363"/>
      <c r="I1517" s="189"/>
      <c r="J1517" s="189"/>
      <c r="K1517" s="189"/>
      <c r="L1517" s="189"/>
      <c r="M1517" s="189"/>
      <c r="N1517" s="219"/>
    </row>
    <row r="1518" spans="1:65" ht="30" customHeight="1">
      <c r="A1518" s="218"/>
      <c r="B1518" s="1257" t="s">
        <v>1172</v>
      </c>
      <c r="C1518" s="1257"/>
      <c r="D1518" s="1257"/>
      <c r="E1518" s="1257"/>
      <c r="F1518" s="1257"/>
      <c r="G1518" s="1257"/>
      <c r="H1518" s="1257"/>
      <c r="I1518" s="1257"/>
      <c r="J1518" s="1257"/>
      <c r="K1518" s="1257"/>
      <c r="L1518" s="1257"/>
      <c r="M1518" s="1257"/>
      <c r="N1518" s="219"/>
      <c r="BB1518" s="188" t="s">
        <v>1175</v>
      </c>
      <c r="BE1518" s="37" t="e">
        <f>IF(#REF!=BB1520,CONCATENATE(BF1518,BG1518,BI1518),IF(#REF!=BB1521,CONCATENATE(BF1518,BG1518,BH1518,BI1518),IF(#REF!=BB1522,CONCATENATE(BF1518,BI1518),"And I am…")))</f>
        <v>#REF!</v>
      </c>
      <c r="BF1518" s="2" t="s">
        <v>1176</v>
      </c>
      <c r="BG1518" s="2" t="s">
        <v>1177</v>
      </c>
      <c r="BH1518" s="2" t="s">
        <v>1178</v>
      </c>
      <c r="BI1518" s="2" t="s">
        <v>734</v>
      </c>
    </row>
    <row r="1519" spans="1:65" ht="40.200000000000003" customHeight="1">
      <c r="A1519" s="218"/>
      <c r="B1519" s="185">
        <v>1</v>
      </c>
      <c r="C1519" s="1258" t="s">
        <v>1173</v>
      </c>
      <c r="D1519" s="1258"/>
      <c r="E1519" s="1258"/>
      <c r="F1519" s="1258"/>
      <c r="G1519" s="1258"/>
      <c r="H1519" s="1258"/>
      <c r="I1519" s="1258"/>
      <c r="J1519" s="1258"/>
      <c r="K1519" s="1258"/>
      <c r="L1519" s="1258"/>
      <c r="M1519" s="186"/>
      <c r="N1519" s="219"/>
    </row>
    <row r="1520" spans="1:65" ht="40.200000000000003" customHeight="1">
      <c r="A1520" s="218"/>
      <c r="B1520" s="185">
        <v>2</v>
      </c>
      <c r="C1520" s="1258" t="s">
        <v>1747</v>
      </c>
      <c r="D1520" s="1258"/>
      <c r="E1520" s="1258"/>
      <c r="F1520" s="1258"/>
      <c r="G1520" s="1258"/>
      <c r="H1520" s="1258"/>
      <c r="I1520" s="1258"/>
      <c r="J1520" s="1258"/>
      <c r="K1520" s="1258"/>
      <c r="L1520" s="1258"/>
      <c r="M1520" s="186"/>
      <c r="N1520" s="219"/>
      <c r="BB1520" s="187" t="s">
        <v>1179</v>
      </c>
      <c r="BE1520" s="2" t="e">
        <f>IF(#REF!=BB1520,BJ1520,IF(#REF!=BB1521,BK1520,IF(#REF!=BB1522,BL1520,BM1520)))</f>
        <v>#REF!</v>
      </c>
      <c r="BJ1520" s="187" t="s">
        <v>1182</v>
      </c>
      <c r="BK1520" s="187" t="s">
        <v>1185</v>
      </c>
      <c r="BL1520" s="187" t="s">
        <v>1188</v>
      </c>
      <c r="BM1520" s="2" t="s">
        <v>1191</v>
      </c>
    </row>
    <row r="1521" spans="1:64" ht="40.200000000000003" customHeight="1">
      <c r="A1521" s="218"/>
      <c r="B1521" s="185">
        <v>3</v>
      </c>
      <c r="C1521" s="1258" t="s">
        <v>1174</v>
      </c>
      <c r="D1521" s="1258"/>
      <c r="E1521" s="1258"/>
      <c r="F1521" s="1258"/>
      <c r="G1521" s="1258"/>
      <c r="H1521" s="1258"/>
      <c r="I1521" s="1258"/>
      <c r="J1521" s="1258"/>
      <c r="K1521" s="1258"/>
      <c r="L1521" s="1258"/>
      <c r="M1521" s="186"/>
      <c r="N1521" s="219"/>
      <c r="BB1521" s="187" t="s">
        <v>1180</v>
      </c>
      <c r="BE1521" s="2" t="e">
        <f>IF(#REF!=BB1520,BJ1521,IF(#REF!=BB1521,BK1521,IF(#REF!=BB1522,BL1521,"")))</f>
        <v>#REF!</v>
      </c>
      <c r="BJ1521" s="187" t="s">
        <v>1183</v>
      </c>
      <c r="BK1521" s="187" t="s">
        <v>1186</v>
      </c>
      <c r="BL1521" s="187" t="s">
        <v>1189</v>
      </c>
    </row>
    <row r="1522" spans="1:64" ht="40.200000000000003" customHeight="1">
      <c r="A1522" s="218"/>
      <c r="B1522" s="185">
        <v>4</v>
      </c>
      <c r="C1522" s="1258" t="s">
        <v>1244</v>
      </c>
      <c r="D1522" s="1258"/>
      <c r="E1522" s="1258"/>
      <c r="F1522" s="1258"/>
      <c r="G1522" s="1258"/>
      <c r="H1522" s="1258"/>
      <c r="I1522" s="1258"/>
      <c r="J1522" s="1258"/>
      <c r="K1522" s="1258"/>
      <c r="L1522" s="1258"/>
      <c r="M1522" s="186"/>
      <c r="N1522" s="219"/>
      <c r="BB1522" s="187" t="s">
        <v>1181</v>
      </c>
      <c r="BE1522" s="2" t="e">
        <f>IF(#REF!=BB1520,BJ1522,IF(#REF!=BB1521,BK1522,IF(#REF!=BB1522,BL1522,"")))</f>
        <v>#REF!</v>
      </c>
      <c r="BJ1522" s="187" t="s">
        <v>1184</v>
      </c>
      <c r="BK1522" s="187" t="s">
        <v>1187</v>
      </c>
      <c r="BL1522" s="187" t="s">
        <v>1190</v>
      </c>
    </row>
    <row r="1523" spans="1:64" ht="40.200000000000003" customHeight="1">
      <c r="A1523" s="218"/>
      <c r="B1523" s="185">
        <v>5</v>
      </c>
      <c r="C1523" s="1258" t="s">
        <v>1192</v>
      </c>
      <c r="D1523" s="1258"/>
      <c r="E1523" s="1258"/>
      <c r="F1523" s="1258"/>
      <c r="G1523" s="1258"/>
      <c r="H1523" s="1258"/>
      <c r="I1523" s="1258"/>
      <c r="J1523" s="1258"/>
      <c r="K1523" s="1258"/>
      <c r="L1523" s="1258"/>
      <c r="M1523" s="186"/>
      <c r="N1523" s="219"/>
    </row>
    <row r="1524" spans="1:64" ht="15" customHeight="1">
      <c r="A1524" s="218"/>
      <c r="B1524" s="185"/>
      <c r="C1524" s="190"/>
      <c r="D1524" s="190"/>
      <c r="E1524" s="190"/>
      <c r="F1524" s="190"/>
      <c r="G1524" s="190"/>
      <c r="H1524" s="364"/>
      <c r="I1524" s="190"/>
      <c r="J1524" s="190"/>
      <c r="K1524" s="190"/>
      <c r="L1524" s="190"/>
      <c r="M1524" s="186"/>
      <c r="N1524" s="219"/>
      <c r="BB1524" s="37" t="e">
        <f>IF(#REF!=BJ1520,#REF!,IF(#REF!=BJ1521,#REF!,IF(#REF!=BJ1522,#REF!,IF(#REF!=BK1520,#REF!,IF(#REF!=BK1521,#REF!,IF(#REF!=BK1522,#REF!,IF(#REF!=BL1520,#REF!,IF(#REF!=BL1521,#REF!,IF(#REF!=BL1522,#REF!,#REF!)))))))))</f>
        <v>#REF!</v>
      </c>
    </row>
    <row r="1525" spans="1:64" ht="25.05" customHeight="1">
      <c r="A1525" s="218"/>
      <c r="B1525" s="384" t="s">
        <v>1252</v>
      </c>
      <c r="C1525" s="384"/>
      <c r="D1525" s="384"/>
      <c r="E1525" s="384"/>
      <c r="F1525" s="366"/>
      <c r="G1525" s="366"/>
      <c r="H1525" s="364"/>
      <c r="I1525" s="366"/>
      <c r="J1525" s="366"/>
      <c r="K1525" s="366"/>
      <c r="L1525" s="366"/>
      <c r="M1525" s="384"/>
      <c r="N1525" s="219"/>
      <c r="BB1525" s="37"/>
    </row>
    <row r="1526" spans="1:64" ht="25.05" customHeight="1">
      <c r="A1526" s="218"/>
      <c r="B1526" s="1263" t="s">
        <v>1253</v>
      </c>
      <c r="C1526" s="1263"/>
      <c r="D1526" s="1263"/>
      <c r="E1526" s="1263"/>
      <c r="F1526" s="1263"/>
      <c r="G1526" s="1263"/>
      <c r="H1526" s="1263"/>
      <c r="I1526" s="1263"/>
      <c r="J1526" s="1263"/>
      <c r="K1526" s="1263"/>
      <c r="L1526" s="1263"/>
      <c r="M1526" s="1263"/>
      <c r="N1526" s="219"/>
      <c r="BB1526" s="37"/>
    </row>
    <row r="1527" spans="1:64" ht="18" customHeight="1">
      <c r="A1527" s="218"/>
      <c r="B1527" s="382" t="s">
        <v>1251</v>
      </c>
      <c r="C1527" s="383" t="s">
        <v>1247</v>
      </c>
      <c r="D1527" s="366"/>
      <c r="E1527" s="366"/>
      <c r="F1527" s="366"/>
      <c r="G1527" s="366"/>
      <c r="H1527" s="364"/>
      <c r="I1527" s="366"/>
      <c r="J1527" s="366"/>
      <c r="K1527" s="366"/>
      <c r="L1527" s="366"/>
      <c r="M1527" s="186"/>
      <c r="N1527" s="219"/>
      <c r="BB1527" s="37"/>
    </row>
    <row r="1528" spans="1:64" ht="18" customHeight="1">
      <c r="A1528" s="218"/>
      <c r="B1528" s="382" t="s">
        <v>1251</v>
      </c>
      <c r="C1528" s="383" t="s">
        <v>1255</v>
      </c>
      <c r="D1528" s="366"/>
      <c r="E1528" s="366"/>
      <c r="F1528" s="366"/>
      <c r="G1528" s="366"/>
      <c r="H1528" s="364"/>
      <c r="I1528" s="366"/>
      <c r="J1528" s="366"/>
      <c r="K1528" s="366"/>
      <c r="L1528" s="366"/>
      <c r="M1528" s="186"/>
      <c r="N1528" s="219"/>
      <c r="BB1528" s="37"/>
    </row>
    <row r="1529" spans="1:64" ht="18" customHeight="1">
      <c r="A1529" s="218"/>
      <c r="B1529" s="382" t="s">
        <v>1251</v>
      </c>
      <c r="C1529" s="383" t="s">
        <v>1256</v>
      </c>
      <c r="D1529" s="366"/>
      <c r="E1529" s="366"/>
      <c r="F1529" s="366"/>
      <c r="G1529" s="366"/>
      <c r="H1529" s="364"/>
      <c r="I1529" s="366"/>
      <c r="J1529" s="366"/>
      <c r="K1529" s="366"/>
      <c r="L1529" s="366"/>
      <c r="M1529" s="186"/>
      <c r="N1529" s="219"/>
      <c r="BB1529" s="37"/>
    </row>
    <row r="1530" spans="1:64" ht="18" customHeight="1">
      <c r="A1530" s="218"/>
      <c r="B1530" s="382" t="s">
        <v>1251</v>
      </c>
      <c r="C1530" s="383" t="s">
        <v>1248</v>
      </c>
      <c r="D1530" s="366"/>
      <c r="E1530" s="366"/>
      <c r="F1530" s="366"/>
      <c r="G1530" s="366"/>
      <c r="H1530" s="364"/>
      <c r="I1530" s="366"/>
      <c r="J1530" s="366"/>
      <c r="K1530" s="366"/>
      <c r="L1530" s="366"/>
      <c r="M1530" s="186"/>
      <c r="N1530" s="219"/>
      <c r="BB1530" s="37"/>
    </row>
    <row r="1531" spans="1:64" ht="18" customHeight="1">
      <c r="A1531" s="218"/>
      <c r="B1531" s="382" t="s">
        <v>1251</v>
      </c>
      <c r="C1531" s="383" t="s">
        <v>1249</v>
      </c>
      <c r="D1531" s="366"/>
      <c r="E1531" s="366"/>
      <c r="F1531" s="366"/>
      <c r="G1531" s="366"/>
      <c r="H1531" s="364"/>
      <c r="I1531" s="366"/>
      <c r="J1531" s="366"/>
      <c r="K1531" s="366"/>
      <c r="L1531" s="366"/>
      <c r="M1531" s="186"/>
      <c r="N1531" s="219"/>
      <c r="BB1531" s="37"/>
    </row>
    <row r="1532" spans="1:64" ht="18" customHeight="1">
      <c r="A1532" s="218"/>
      <c r="B1532" s="382" t="s">
        <v>1251</v>
      </c>
      <c r="C1532" s="383" t="s">
        <v>1257</v>
      </c>
      <c r="D1532" s="366"/>
      <c r="E1532" s="366"/>
      <c r="F1532" s="366"/>
      <c r="G1532" s="366"/>
      <c r="H1532" s="364"/>
      <c r="I1532" s="366"/>
      <c r="J1532" s="366"/>
      <c r="K1532" s="366"/>
      <c r="L1532" s="366"/>
      <c r="M1532" s="186"/>
      <c r="N1532" s="219"/>
      <c r="BB1532" s="37"/>
    </row>
    <row r="1533" spans="1:64" ht="30" customHeight="1" thickBot="1">
      <c r="A1533" s="218"/>
      <c r="B1533" s="385" t="s">
        <v>1250</v>
      </c>
      <c r="C1533" s="366"/>
      <c r="D1533" s="366"/>
      <c r="E1533" s="366"/>
      <c r="F1533" s="366"/>
      <c r="G1533" s="366"/>
      <c r="H1533" s="364"/>
      <c r="I1533" s="366"/>
      <c r="J1533" s="366"/>
      <c r="K1533" s="366"/>
      <c r="L1533" s="366"/>
      <c r="M1533" s="186"/>
      <c r="N1533" s="219"/>
      <c r="BB1533" s="37"/>
    </row>
    <row r="1534" spans="1:64" ht="10.050000000000001" customHeight="1">
      <c r="A1534" s="218"/>
      <c r="B1534" s="381"/>
      <c r="C1534" s="386"/>
      <c r="D1534" s="386"/>
      <c r="E1534" s="386"/>
      <c r="F1534" s="386"/>
      <c r="G1534" s="386"/>
      <c r="H1534" s="387"/>
      <c r="I1534" s="386"/>
      <c r="J1534" s="366"/>
      <c r="K1534" s="366"/>
      <c r="L1534" s="366"/>
      <c r="M1534" s="186"/>
      <c r="N1534" s="219"/>
      <c r="BB1534" s="37"/>
    </row>
    <row r="1535" spans="1:64" ht="30" customHeight="1">
      <c r="A1535" s="218"/>
      <c r="B1535" s="907" t="s">
        <v>3213</v>
      </c>
      <c r="C1535" s="386"/>
      <c r="D1535" s="386"/>
      <c r="E1535" s="386"/>
      <c r="F1535" s="386"/>
      <c r="G1535" s="386"/>
      <c r="H1535" s="387"/>
      <c r="I1535" s="386"/>
      <c r="J1535" s="869"/>
      <c r="K1535" s="869"/>
      <c r="L1535" s="869"/>
      <c r="M1535" s="186"/>
      <c r="N1535" s="219"/>
      <c r="BB1535" s="37"/>
    </row>
    <row r="1536" spans="1:64" ht="19.95" customHeight="1">
      <c r="A1536" s="218"/>
      <c r="B1536" s="1264" t="s">
        <v>3217</v>
      </c>
      <c r="C1536" s="1264"/>
      <c r="D1536" s="1264"/>
      <c r="E1536" s="1264"/>
      <c r="F1536" s="1264"/>
      <c r="G1536" s="1264"/>
      <c r="H1536" s="1264"/>
      <c r="I1536" s="1264"/>
      <c r="J1536" s="1264"/>
      <c r="K1536" s="1264"/>
      <c r="L1536" s="1264"/>
      <c r="M1536" s="186"/>
      <c r="N1536" s="219"/>
      <c r="BB1536" s="37"/>
    </row>
    <row r="1537" spans="1:54" ht="15" customHeight="1">
      <c r="A1537" s="218"/>
      <c r="B1537" s="587" t="s">
        <v>3215</v>
      </c>
      <c r="C1537" s="366"/>
      <c r="D1537" s="366"/>
      <c r="E1537" s="366"/>
      <c r="F1537" s="366"/>
      <c r="G1537" s="366"/>
      <c r="H1537" s="364"/>
      <c r="I1537" s="366"/>
      <c r="J1537" s="366"/>
      <c r="K1537" s="366"/>
      <c r="L1537" s="366"/>
      <c r="M1537" s="186"/>
      <c r="N1537" s="219"/>
      <c r="BB1537" s="37"/>
    </row>
    <row r="1538" spans="1:54" ht="19.95" customHeight="1">
      <c r="A1538" s="218"/>
      <c r="B1538" s="1264" t="s">
        <v>3214</v>
      </c>
      <c r="C1538" s="1264"/>
      <c r="D1538" s="1264"/>
      <c r="E1538" s="1264"/>
      <c r="F1538" s="1264"/>
      <c r="G1538" s="1264"/>
      <c r="H1538" s="1264"/>
      <c r="I1538" s="1264"/>
      <c r="J1538" s="1264"/>
      <c r="K1538" s="366"/>
      <c r="L1538" s="366"/>
      <c r="M1538" s="186"/>
      <c r="N1538" s="219"/>
      <c r="BB1538" s="37"/>
    </row>
    <row r="1539" spans="1:54" ht="15" customHeight="1">
      <c r="A1539" s="218"/>
      <c r="B1539" s="587" t="s">
        <v>2020</v>
      </c>
      <c r="C1539" s="366"/>
      <c r="D1539" s="366"/>
      <c r="E1539" s="366"/>
      <c r="F1539" s="366"/>
      <c r="G1539" s="366"/>
      <c r="H1539" s="364"/>
      <c r="I1539" s="366"/>
      <c r="J1539" s="366"/>
      <c r="K1539" s="366"/>
      <c r="L1539" s="366"/>
      <c r="M1539" s="186"/>
      <c r="N1539" s="219"/>
      <c r="BB1539" s="37"/>
    </row>
    <row r="1540" spans="1:54" ht="19.95" customHeight="1">
      <c r="A1540" s="218"/>
      <c r="B1540" s="1264" t="s">
        <v>3216</v>
      </c>
      <c r="C1540" s="1264"/>
      <c r="D1540" s="1264"/>
      <c r="E1540" s="1264"/>
      <c r="F1540" s="1264"/>
      <c r="G1540" s="1264"/>
      <c r="H1540" s="1264"/>
      <c r="I1540" s="1264"/>
      <c r="J1540" s="1264"/>
      <c r="K1540" s="1264"/>
      <c r="L1540" s="366"/>
      <c r="M1540" s="186"/>
      <c r="N1540" s="219"/>
      <c r="BB1540" s="37"/>
    </row>
    <row r="1541" spans="1:54" ht="15" customHeight="1">
      <c r="A1541" s="218"/>
      <c r="B1541" s="908" t="s">
        <v>3218</v>
      </c>
      <c r="C1541" s="366"/>
      <c r="D1541" s="366"/>
      <c r="E1541" s="366"/>
      <c r="F1541" s="366"/>
      <c r="G1541" s="366"/>
      <c r="H1541" s="364"/>
      <c r="I1541" s="366"/>
      <c r="J1541" s="366"/>
      <c r="K1541" s="366"/>
      <c r="L1541" s="366"/>
      <c r="M1541" s="186"/>
      <c r="N1541" s="219"/>
      <c r="BB1541" s="37"/>
    </row>
    <row r="1542" spans="1:54" ht="7.95" customHeight="1">
      <c r="A1542" s="218"/>
      <c r="B1542" s="185"/>
      <c r="C1542" s="366"/>
      <c r="D1542" s="366"/>
      <c r="E1542" s="366"/>
      <c r="F1542" s="366"/>
      <c r="G1542" s="366"/>
      <c r="H1542" s="364"/>
      <c r="I1542" s="366"/>
      <c r="J1542" s="366"/>
      <c r="K1542" s="366"/>
      <c r="L1542" s="366"/>
      <c r="M1542" s="186"/>
      <c r="N1542" s="219"/>
      <c r="BB1542" s="37"/>
    </row>
    <row r="1543" spans="1:54" ht="15" customHeight="1">
      <c r="A1543" s="218"/>
      <c r="B1543" s="1259" t="s">
        <v>1195</v>
      </c>
      <c r="C1543" s="1259"/>
      <c r="D1543" s="1259"/>
      <c r="E1543" s="1259"/>
      <c r="F1543" s="1259"/>
      <c r="G1543" s="1259"/>
      <c r="H1543" s="1259"/>
      <c r="I1543" s="1259"/>
      <c r="J1543" s="1259"/>
      <c r="K1543" s="1259"/>
      <c r="L1543" s="1259"/>
      <c r="M1543" s="212" t="s">
        <v>1194</v>
      </c>
      <c r="N1543" s="219"/>
      <c r="BB1543" s="37"/>
    </row>
    <row r="1544" spans="1:54" ht="7.95" customHeight="1" thickBot="1">
      <c r="A1544" s="218"/>
      <c r="B1544" s="213"/>
      <c r="C1544" s="213"/>
      <c r="D1544" s="213"/>
      <c r="E1544" s="213"/>
      <c r="F1544" s="213"/>
      <c r="G1544" s="213"/>
      <c r="H1544" s="365"/>
      <c r="I1544" s="213"/>
      <c r="J1544" s="213"/>
      <c r="K1544" s="213"/>
      <c r="L1544" s="213"/>
      <c r="M1544" s="213"/>
      <c r="N1544" s="219"/>
      <c r="BB1544" s="37"/>
    </row>
    <row r="1545" spans="1:54" ht="15" customHeight="1" thickTop="1" thickBot="1">
      <c r="A1545" s="218"/>
      <c r="B1545" s="1260" t="s">
        <v>1193</v>
      </c>
      <c r="C1545" s="1261"/>
      <c r="D1545" s="1261"/>
      <c r="E1545" s="1261"/>
      <c r="F1545" s="1261"/>
      <c r="G1545" s="1261"/>
      <c r="H1545" s="1261"/>
      <c r="I1545" s="1261"/>
      <c r="J1545" s="1261"/>
      <c r="K1545" s="1261"/>
      <c r="L1545" s="1261"/>
      <c r="M1545" s="1262"/>
      <c r="N1545" s="219"/>
      <c r="BB1545" s="37"/>
    </row>
    <row r="1546" spans="1:54" ht="10.050000000000001" customHeight="1" thickTop="1">
      <c r="A1546" s="218"/>
      <c r="B1546" s="185"/>
      <c r="C1546" s="366"/>
      <c r="D1546" s="366"/>
      <c r="E1546" s="366"/>
      <c r="F1546" s="366"/>
      <c r="G1546" s="366"/>
      <c r="H1546" s="364"/>
      <c r="I1546" s="366"/>
      <c r="J1546" s="366"/>
      <c r="K1546" s="366"/>
      <c r="L1546" s="366"/>
      <c r="M1546" s="186"/>
      <c r="N1546" s="219"/>
      <c r="BB1546" s="37"/>
    </row>
  </sheetData>
  <mergeCells count="423">
    <mergeCell ref="G25:K25"/>
    <mergeCell ref="G30:K30"/>
    <mergeCell ref="G16:K16"/>
    <mergeCell ref="G17:K17"/>
    <mergeCell ref="G18:K18"/>
    <mergeCell ref="G19:K19"/>
    <mergeCell ref="G20:K20"/>
    <mergeCell ref="G21:K21"/>
    <mergeCell ref="G22:K22"/>
    <mergeCell ref="G23:K23"/>
    <mergeCell ref="G24:K24"/>
    <mergeCell ref="G7:K7"/>
    <mergeCell ref="G8:K8"/>
    <mergeCell ref="G9:K9"/>
    <mergeCell ref="G10:K10"/>
    <mergeCell ref="G11:K11"/>
    <mergeCell ref="G12:K12"/>
    <mergeCell ref="G13:K13"/>
    <mergeCell ref="G14:K14"/>
    <mergeCell ref="G15:K15"/>
    <mergeCell ref="B1222:E1229"/>
    <mergeCell ref="F1222:I1229"/>
    <mergeCell ref="J1222:M1229"/>
    <mergeCell ref="B1230:M1231"/>
    <mergeCell ref="B1127:C1127"/>
    <mergeCell ref="D1127:E1127"/>
    <mergeCell ref="F1127:G1127"/>
    <mergeCell ref="G37:K37"/>
    <mergeCell ref="G38:K38"/>
    <mergeCell ref="G39:K39"/>
    <mergeCell ref="G40:K40"/>
    <mergeCell ref="B1186:M1189"/>
    <mergeCell ref="B1182:M1185"/>
    <mergeCell ref="B1178:M1181"/>
    <mergeCell ref="G1176:M1177"/>
    <mergeCell ref="B1106:M1111"/>
    <mergeCell ref="E1013:J1013"/>
    <mergeCell ref="B460:L460"/>
    <mergeCell ref="B507:L507"/>
    <mergeCell ref="L759:M759"/>
    <mergeCell ref="B755:C755"/>
    <mergeCell ref="E755:F755"/>
    <mergeCell ref="B752:C752"/>
    <mergeCell ref="B753:C753"/>
    <mergeCell ref="B1518:M1518"/>
    <mergeCell ref="C1522:L1522"/>
    <mergeCell ref="C1521:L1521"/>
    <mergeCell ref="C1520:L1520"/>
    <mergeCell ref="C1519:L1519"/>
    <mergeCell ref="C1523:L1523"/>
    <mergeCell ref="B1543:L1543"/>
    <mergeCell ref="B1545:M1545"/>
    <mergeCell ref="B1526:M1526"/>
    <mergeCell ref="B1540:K1540"/>
    <mergeCell ref="B1538:J1538"/>
    <mergeCell ref="B1536:L1536"/>
    <mergeCell ref="B754:C754"/>
    <mergeCell ref="B919:L919"/>
    <mergeCell ref="L751:M751"/>
    <mergeCell ref="E1017:J1017"/>
    <mergeCell ref="B1123:G1123"/>
    <mergeCell ref="K1163:M1164"/>
    <mergeCell ref="B1164:D1165"/>
    <mergeCell ref="H1164:J1165"/>
    <mergeCell ref="H1125:I1125"/>
    <mergeCell ref="H1128:I1128"/>
    <mergeCell ref="J1128:K1128"/>
    <mergeCell ref="L1128:M1128"/>
    <mergeCell ref="I1050:K1050"/>
    <mergeCell ref="D1051:F1051"/>
    <mergeCell ref="G1051:H1051"/>
    <mergeCell ref="B1065:G1067"/>
    <mergeCell ref="H1065:M1067"/>
    <mergeCell ref="B1079:G1083"/>
    <mergeCell ref="H1079:M1083"/>
    <mergeCell ref="H1054:M1054"/>
    <mergeCell ref="H1055:M1055"/>
    <mergeCell ref="B1059:G1063"/>
    <mergeCell ref="H253:M253"/>
    <mergeCell ref="C223:L227"/>
    <mergeCell ref="D212:K213"/>
    <mergeCell ref="D214:K215"/>
    <mergeCell ref="D216:K217"/>
    <mergeCell ref="D210:K211"/>
    <mergeCell ref="B241:M243"/>
    <mergeCell ref="E753:F753"/>
    <mergeCell ref="E751:F751"/>
    <mergeCell ref="G35:K35"/>
    <mergeCell ref="G36:K36"/>
    <mergeCell ref="G31:K31"/>
    <mergeCell ref="G32:K32"/>
    <mergeCell ref="B272:L272"/>
    <mergeCell ref="B319:L319"/>
    <mergeCell ref="B260:M261"/>
    <mergeCell ref="B145:F146"/>
    <mergeCell ref="B129:D130"/>
    <mergeCell ref="H144:J146"/>
    <mergeCell ref="K144:M146"/>
    <mergeCell ref="H136:J138"/>
    <mergeCell ref="K136:M138"/>
    <mergeCell ref="K140:M142"/>
    <mergeCell ref="H140:J142"/>
    <mergeCell ref="B137:F138"/>
    <mergeCell ref="B141:F142"/>
    <mergeCell ref="B198:L198"/>
    <mergeCell ref="B236:L236"/>
    <mergeCell ref="B178:M178"/>
    <mergeCell ref="B173:G173"/>
    <mergeCell ref="H247:M247"/>
    <mergeCell ref="B248:M249"/>
    <mergeCell ref="H250:M250"/>
    <mergeCell ref="A3:N3"/>
    <mergeCell ref="A1:N2"/>
    <mergeCell ref="N66:N84"/>
    <mergeCell ref="B66:M67"/>
    <mergeCell ref="H132:J134"/>
    <mergeCell ref="K132:M134"/>
    <mergeCell ref="E129:H130"/>
    <mergeCell ref="I129:M130"/>
    <mergeCell ref="B133:F134"/>
    <mergeCell ref="B54:M55"/>
    <mergeCell ref="G59:H61"/>
    <mergeCell ref="E63:M64"/>
    <mergeCell ref="B57:F61"/>
    <mergeCell ref="I57:M61"/>
    <mergeCell ref="A66:A84"/>
    <mergeCell ref="B68:M73"/>
    <mergeCell ref="B74:M79"/>
    <mergeCell ref="B86:M87"/>
    <mergeCell ref="B11:F11"/>
    <mergeCell ref="B23:F23"/>
    <mergeCell ref="B30:F30"/>
    <mergeCell ref="G41:K41"/>
    <mergeCell ref="G33:K33"/>
    <mergeCell ref="G34:K34"/>
    <mergeCell ref="B42:F42"/>
    <mergeCell ref="B50:M51"/>
    <mergeCell ref="B89:L89"/>
    <mergeCell ref="H1096:M1100"/>
    <mergeCell ref="A4:N4"/>
    <mergeCell ref="A5:N5"/>
    <mergeCell ref="G42:K42"/>
    <mergeCell ref="B7:F7"/>
    <mergeCell ref="B9:F9"/>
    <mergeCell ref="G26:K26"/>
    <mergeCell ref="G27:K27"/>
    <mergeCell ref="G28:K28"/>
    <mergeCell ref="K1086:M1086"/>
    <mergeCell ref="E1087:G1087"/>
    <mergeCell ref="H1087:J1087"/>
    <mergeCell ref="B1069:G1073"/>
    <mergeCell ref="H1069:M1073"/>
    <mergeCell ref="B1041:G1042"/>
    <mergeCell ref="H1041:M1042"/>
    <mergeCell ref="C1047:L1047"/>
    <mergeCell ref="B1049:C1051"/>
    <mergeCell ref="D1049:F1049"/>
    <mergeCell ref="B171:G172"/>
    <mergeCell ref="G29:K29"/>
    <mergeCell ref="B1170:D1171"/>
    <mergeCell ref="H1170:J1171"/>
    <mergeCell ref="E1171:G1172"/>
    <mergeCell ref="K1171:M1172"/>
    <mergeCell ref="E1163:G1164"/>
    <mergeCell ref="J1125:K1125"/>
    <mergeCell ref="L1125:M1125"/>
    <mergeCell ref="J1127:K1127"/>
    <mergeCell ref="L1127:M1127"/>
    <mergeCell ref="B1128:C1128"/>
    <mergeCell ref="D1128:E1128"/>
    <mergeCell ref="B1130:C1136"/>
    <mergeCell ref="B1144:M1149"/>
    <mergeCell ref="H1139:M1140"/>
    <mergeCell ref="H1127:I1127"/>
    <mergeCell ref="H1130:I1136"/>
    <mergeCell ref="J1130:K1136"/>
    <mergeCell ref="L1130:M1136"/>
    <mergeCell ref="H1129:I1129"/>
    <mergeCell ref="J1129:K1129"/>
    <mergeCell ref="L1129:M1129"/>
    <mergeCell ref="B1125:C1125"/>
    <mergeCell ref="D1125:E1125"/>
    <mergeCell ref="F1125:G1125"/>
    <mergeCell ref="H1059:M1063"/>
    <mergeCell ref="L1049:M1051"/>
    <mergeCell ref="D1050:F1050"/>
    <mergeCell ref="G1050:H1050"/>
    <mergeCell ref="G1049:H1049"/>
    <mergeCell ref="I1049:K1049"/>
    <mergeCell ref="B1089:D1089"/>
    <mergeCell ref="E1089:G1089"/>
    <mergeCell ref="H1089:J1089"/>
    <mergeCell ref="B1086:D1086"/>
    <mergeCell ref="B1378:L1378"/>
    <mergeCell ref="B1425:K1425"/>
    <mergeCell ref="B1286:M1288"/>
    <mergeCell ref="B1294:F1301"/>
    <mergeCell ref="I1294:M1301"/>
    <mergeCell ref="B1289:M1292"/>
    <mergeCell ref="I1374:M1376"/>
    <mergeCell ref="B1379:M1381"/>
    <mergeCell ref="B1382:M1385"/>
    <mergeCell ref="B1386:M1386"/>
    <mergeCell ref="B1302:B1306"/>
    <mergeCell ref="C1302:C1306"/>
    <mergeCell ref="G1302:G1306"/>
    <mergeCell ref="H1302:H1306"/>
    <mergeCell ref="L1302:L1306"/>
    <mergeCell ref="B1307:F1314"/>
    <mergeCell ref="I1307:M1314"/>
    <mergeCell ref="I1337:M1340"/>
    <mergeCell ref="I1341:M1344"/>
    <mergeCell ref="B1317:H1318"/>
    <mergeCell ref="B1319:H1320"/>
    <mergeCell ref="B1321:H1322"/>
    <mergeCell ref="I1317:M1318"/>
    <mergeCell ref="I1319:M1320"/>
    <mergeCell ref="I1388:M1395"/>
    <mergeCell ref="G1396:G1400"/>
    <mergeCell ref="H1396:H1400"/>
    <mergeCell ref="B1401:F1407"/>
    <mergeCell ref="I1401:M1407"/>
    <mergeCell ref="I1431:M1434"/>
    <mergeCell ref="B1418:M1423"/>
    <mergeCell ref="B1415:H1416"/>
    <mergeCell ref="B1411:H1412"/>
    <mergeCell ref="B1413:H1414"/>
    <mergeCell ref="I1411:M1412"/>
    <mergeCell ref="I1413:M1414"/>
    <mergeCell ref="I1415:M1416"/>
    <mergeCell ref="B1233:M1235"/>
    <mergeCell ref="I1244:M1247"/>
    <mergeCell ref="B981:M983"/>
    <mergeCell ref="B984:M988"/>
    <mergeCell ref="B1216:E1221"/>
    <mergeCell ref="F1216:I1221"/>
    <mergeCell ref="J1216:M1221"/>
    <mergeCell ref="K1089:M1089"/>
    <mergeCell ref="B1091:G1095"/>
    <mergeCell ref="H1123:M1123"/>
    <mergeCell ref="B1124:C1124"/>
    <mergeCell ref="D1124:E1124"/>
    <mergeCell ref="F1124:G1124"/>
    <mergeCell ref="H1124:I1124"/>
    <mergeCell ref="J1124:K1124"/>
    <mergeCell ref="L1124:M1124"/>
    <mergeCell ref="H1091:M1095"/>
    <mergeCell ref="B1096:G1100"/>
    <mergeCell ref="D1129:E1129"/>
    <mergeCell ref="F1129:G1129"/>
    <mergeCell ref="F1128:G1128"/>
    <mergeCell ref="H1141:M1142"/>
    <mergeCell ref="D1130:E1136"/>
    <mergeCell ref="F1130:G1136"/>
    <mergeCell ref="I1362:M1365"/>
    <mergeCell ref="I1366:M1369"/>
    <mergeCell ref="I1370:M1373"/>
    <mergeCell ref="I1321:M1322"/>
    <mergeCell ref="B1324:M1329"/>
    <mergeCell ref="I1248:M1251"/>
    <mergeCell ref="I1252:M1255"/>
    <mergeCell ref="I1256:M1259"/>
    <mergeCell ref="I1260:M1262"/>
    <mergeCell ref="I1265:M1268"/>
    <mergeCell ref="I1269:M1272"/>
    <mergeCell ref="I1273:M1276"/>
    <mergeCell ref="I1277:M1280"/>
    <mergeCell ref="I1282:M1283"/>
    <mergeCell ref="I1439:M1442"/>
    <mergeCell ref="B1388:F1395"/>
    <mergeCell ref="I752:J752"/>
    <mergeCell ref="L752:M752"/>
    <mergeCell ref="I753:J753"/>
    <mergeCell ref="L753:M753"/>
    <mergeCell ref="B1054:G1054"/>
    <mergeCell ref="B1055:G1055"/>
    <mergeCell ref="B603:M604"/>
    <mergeCell ref="B606:F610"/>
    <mergeCell ref="I606:M610"/>
    <mergeCell ref="G608:H610"/>
    <mergeCell ref="E612:M613"/>
    <mergeCell ref="B615:M618"/>
    <mergeCell ref="B619:M624"/>
    <mergeCell ref="B989:M992"/>
    <mergeCell ref="B993:M995"/>
    <mergeCell ref="B996:M998"/>
    <mergeCell ref="I1051:K1051"/>
    <mergeCell ref="G978:M979"/>
    <mergeCell ref="B749:C749"/>
    <mergeCell ref="E749:F749"/>
    <mergeCell ref="I749:J749"/>
    <mergeCell ref="L749:M749"/>
    <mergeCell ref="A45:N46"/>
    <mergeCell ref="A47:N48"/>
    <mergeCell ref="B123:M125"/>
    <mergeCell ref="B126:M128"/>
    <mergeCell ref="B747:C747"/>
    <mergeCell ref="E747:F747"/>
    <mergeCell ref="I747:J747"/>
    <mergeCell ref="L747:M747"/>
    <mergeCell ref="B748:C748"/>
    <mergeCell ref="E748:F748"/>
    <mergeCell ref="I748:J748"/>
    <mergeCell ref="L748:M748"/>
    <mergeCell ref="B199:M201"/>
    <mergeCell ref="D202:K203"/>
    <mergeCell ref="D204:K205"/>
    <mergeCell ref="D206:K207"/>
    <mergeCell ref="D208:K209"/>
    <mergeCell ref="H169:M170"/>
    <mergeCell ref="H171:M172"/>
    <mergeCell ref="B175:M175"/>
    <mergeCell ref="B176:M177"/>
    <mergeCell ref="B228:M234"/>
    <mergeCell ref="B263:M264"/>
    <mergeCell ref="H265:M265"/>
    <mergeCell ref="B80:M84"/>
    <mergeCell ref="B966:L966"/>
    <mergeCell ref="I755:J755"/>
    <mergeCell ref="L755:M755"/>
    <mergeCell ref="B756:C756"/>
    <mergeCell ref="E756:F756"/>
    <mergeCell ref="I756:J756"/>
    <mergeCell ref="L756:M756"/>
    <mergeCell ref="B554:L554"/>
    <mergeCell ref="E754:F754"/>
    <mergeCell ref="I754:J754"/>
    <mergeCell ref="L754:M754"/>
    <mergeCell ref="B772:M776"/>
    <mergeCell ref="B815:F819"/>
    <mergeCell ref="I815:M819"/>
    <mergeCell ref="G817:H819"/>
    <mergeCell ref="B811:M813"/>
    <mergeCell ref="B743:M745"/>
    <mergeCell ref="B778:L778"/>
    <mergeCell ref="E752:F752"/>
    <mergeCell ref="B164:M167"/>
    <mergeCell ref="B169:G170"/>
    <mergeCell ref="D220:K221"/>
    <mergeCell ref="B251:M252"/>
    <mergeCell ref="B1002:M1003"/>
    <mergeCell ref="E1009:J1009"/>
    <mergeCell ref="B825:L825"/>
    <mergeCell ref="B872:L872"/>
    <mergeCell ref="B750:C750"/>
    <mergeCell ref="E750:F750"/>
    <mergeCell ref="E759:F759"/>
    <mergeCell ref="B160:M163"/>
    <mergeCell ref="B121:L121"/>
    <mergeCell ref="B158:L158"/>
    <mergeCell ref="H173:M173"/>
    <mergeCell ref="B266:M267"/>
    <mergeCell ref="B180:M182"/>
    <mergeCell ref="C268:L270"/>
    <mergeCell ref="B268:B270"/>
    <mergeCell ref="M268:M270"/>
    <mergeCell ref="B254:M255"/>
    <mergeCell ref="H256:M256"/>
    <mergeCell ref="B257:M258"/>
    <mergeCell ref="H259:M259"/>
    <mergeCell ref="H244:M244"/>
    <mergeCell ref="B245:M246"/>
    <mergeCell ref="D218:K219"/>
    <mergeCell ref="H262:M262"/>
    <mergeCell ref="B366:L366"/>
    <mergeCell ref="B413:L413"/>
    <mergeCell ref="B601:L601"/>
    <mergeCell ref="B647:L647"/>
    <mergeCell ref="B694:L694"/>
    <mergeCell ref="B741:L741"/>
    <mergeCell ref="I751:J751"/>
    <mergeCell ref="B1473:M1476"/>
    <mergeCell ref="G1102:M1104"/>
    <mergeCell ref="I1443:M1446"/>
    <mergeCell ref="I1447:M1449"/>
    <mergeCell ref="I1452:M1455"/>
    <mergeCell ref="I1456:M1459"/>
    <mergeCell ref="I1460:M1463"/>
    <mergeCell ref="B1472:L1472"/>
    <mergeCell ref="B751:C751"/>
    <mergeCell ref="I750:J750"/>
    <mergeCell ref="L750:M750"/>
    <mergeCell ref="E1021:J1021"/>
    <mergeCell ref="E1025:J1025"/>
    <mergeCell ref="E1029:J1029"/>
    <mergeCell ref="E1033:J1033"/>
    <mergeCell ref="E1037:J1037"/>
    <mergeCell ref="B1001:M1001"/>
    <mergeCell ref="B1509:M1514"/>
    <mergeCell ref="B1506:H1507"/>
    <mergeCell ref="B1502:H1503"/>
    <mergeCell ref="B1504:H1505"/>
    <mergeCell ref="I1502:M1503"/>
    <mergeCell ref="I1504:M1505"/>
    <mergeCell ref="C1484:M1486"/>
    <mergeCell ref="C1487:M1489"/>
    <mergeCell ref="C1491:M1493"/>
    <mergeCell ref="C1494:M1496"/>
    <mergeCell ref="C1497:M1499"/>
    <mergeCell ref="B1516:D1516"/>
    <mergeCell ref="B1000:M1000"/>
    <mergeCell ref="B1044:L1044"/>
    <mergeCell ref="B1076:L1076"/>
    <mergeCell ref="B1113:L1113"/>
    <mergeCell ref="B1151:K1151"/>
    <mergeCell ref="B1191:L1191"/>
    <mergeCell ref="B1238:J1238"/>
    <mergeCell ref="B1285:L1285"/>
    <mergeCell ref="B1331:K1331"/>
    <mergeCell ref="B1477:M1480"/>
    <mergeCell ref="I1506:M1507"/>
    <mergeCell ref="C1481:M1483"/>
    <mergeCell ref="B1137:E1137"/>
    <mergeCell ref="F1137:I1137"/>
    <mergeCell ref="J1137:M1137"/>
    <mergeCell ref="I1464:M1467"/>
    <mergeCell ref="I1468:M1470"/>
    <mergeCell ref="I1345:M1348"/>
    <mergeCell ref="I1349:M1352"/>
    <mergeCell ref="I1353:M1355"/>
    <mergeCell ref="I1358:M1361"/>
    <mergeCell ref="B1129:C1129"/>
    <mergeCell ref="I1435:M1438"/>
  </mergeCells>
  <phoneticPr fontId="144" type="noConversion"/>
  <conditionalFormatting sqref="B66">
    <cfRule type="containsText" dxfId="127" priority="180" operator="containsText" text="INSTRUCTIONS:">
      <formula>NOT(ISERROR(SEARCH("INSTRUCTIONS:",B66)))</formula>
    </cfRule>
  </conditionalFormatting>
  <conditionalFormatting sqref="E63:M64">
    <cfRule type="containsText" dxfId="126" priority="178" operator="containsText" text="Mouses over">
      <formula>NOT(ISERROR(SEARCH("Mouses over",E63)))</formula>
    </cfRule>
  </conditionalFormatting>
  <conditionalFormatting sqref="B68:M73">
    <cfRule type="containsText" dxfId="125" priority="177" operator="containsText" text="interactive">
      <formula>NOT(ISERROR(SEARCH("interactive",B68)))</formula>
    </cfRule>
  </conditionalFormatting>
  <conditionalFormatting sqref="B74:M79">
    <cfRule type="containsText" dxfId="124" priority="176" operator="containsText" text="&quot;I&quot;">
      <formula>NOT(ISERROR(SEARCH("""I""",B74)))</formula>
    </cfRule>
  </conditionalFormatting>
  <conditionalFormatting sqref="B80:M84">
    <cfRule type="containsText" dxfId="123" priority="175" operator="containsText" text="Remember, ">
      <formula>NOT(ISERROR(SEARCH("Remember, ",B80)))</formula>
    </cfRule>
  </conditionalFormatting>
  <conditionalFormatting sqref="C247:H247 B245 C250:H250 B248 C253:H253 B251 C256:H256 B254 C259:H259 B257 C262:H262 B260 C265:H265 B263 C268 B266">
    <cfRule type="containsText" dxfId="122" priority="174" operator="containsText" text="ITEMS">
      <formula>NOT(ISERROR(SEARCH("ITEMS",B245)))</formula>
    </cfRule>
  </conditionalFormatting>
  <conditionalFormatting sqref="B271:M271 C268">
    <cfRule type="containsText" dxfId="121" priority="164" operator="containsText" text="ITEMS">
      <formula>NOT(ISERROR(SEARCH("ITEMS",B268)))</formula>
    </cfRule>
  </conditionalFormatting>
  <conditionalFormatting sqref="C268">
    <cfRule type="containsText" dxfId="120" priority="163" operator="containsText" text="You show">
      <formula>NOT(ISERROR(SEARCH("You show",C268)))</formula>
    </cfRule>
  </conditionalFormatting>
  <conditionalFormatting sqref="B756:C756">
    <cfRule type="cellIs" dxfId="119" priority="158" operator="between">
      <formula>0</formula>
      <formula>0.11</formula>
    </cfRule>
  </conditionalFormatting>
  <conditionalFormatting sqref="B752:C752">
    <cfRule type="cellIs" dxfId="118" priority="157" operator="between">
      <formula>0.4</formula>
      <formula>0.51</formula>
    </cfRule>
  </conditionalFormatting>
  <conditionalFormatting sqref="B753:C753">
    <cfRule type="cellIs" dxfId="117" priority="156" operator="between">
      <formula>0.3</formula>
      <formula>0.41</formula>
    </cfRule>
  </conditionalFormatting>
  <conditionalFormatting sqref="B754:C754">
    <cfRule type="cellIs" dxfId="116" priority="155" operator="between">
      <formula>0.2</formula>
      <formula>0.31</formula>
    </cfRule>
  </conditionalFormatting>
  <conditionalFormatting sqref="B755:C755">
    <cfRule type="cellIs" dxfId="115" priority="154" operator="between">
      <formula>0.1</formula>
      <formula>0.21</formula>
    </cfRule>
  </conditionalFormatting>
  <conditionalFormatting sqref="B751:C751">
    <cfRule type="cellIs" dxfId="114" priority="153" operator="between">
      <formula>0.5</formula>
      <formula>0.61</formula>
    </cfRule>
  </conditionalFormatting>
  <conditionalFormatting sqref="B750:C750">
    <cfRule type="cellIs" dxfId="113" priority="152" operator="between">
      <formula>0.6</formula>
      <formula>0.71</formula>
    </cfRule>
  </conditionalFormatting>
  <conditionalFormatting sqref="B749:C749">
    <cfRule type="cellIs" dxfId="112" priority="151" operator="between">
      <formula>0.7</formula>
      <formula>0.81</formula>
    </cfRule>
  </conditionalFormatting>
  <conditionalFormatting sqref="B748:C748">
    <cfRule type="cellIs" dxfId="111" priority="150" operator="between">
      <formula>0.8</formula>
      <formula>0.91</formula>
    </cfRule>
  </conditionalFormatting>
  <conditionalFormatting sqref="B747:C747">
    <cfRule type="cellIs" dxfId="110" priority="149" operator="between">
      <formula>0.9</formula>
      <formula>1.01</formula>
    </cfRule>
  </conditionalFormatting>
  <conditionalFormatting sqref="I749:J750">
    <cfRule type="cellIs" dxfId="109" priority="147" operator="between">
      <formula>0.7</formula>
      <formula>0.81</formula>
    </cfRule>
  </conditionalFormatting>
  <conditionalFormatting sqref="I756:J756">
    <cfRule type="cellIs" dxfId="108" priority="139" operator="between">
      <formula>0</formula>
      <formula>0.11</formula>
    </cfRule>
  </conditionalFormatting>
  <conditionalFormatting sqref="E747:F747">
    <cfRule type="cellIs" dxfId="107" priority="138" operator="between">
      <formula>0.9</formula>
      <formula>1.01</formula>
    </cfRule>
  </conditionalFormatting>
  <conditionalFormatting sqref="E748:F748">
    <cfRule type="cellIs" dxfId="106" priority="137" operator="between">
      <formula>0.8</formula>
      <formula>0.91</formula>
    </cfRule>
  </conditionalFormatting>
  <conditionalFormatting sqref="E749:F749">
    <cfRule type="cellIs" dxfId="105" priority="136" operator="between">
      <formula>0.8</formula>
      <formula>0.91</formula>
    </cfRule>
  </conditionalFormatting>
  <conditionalFormatting sqref="E751:F751">
    <cfRule type="cellIs" dxfId="104" priority="135" operator="between">
      <formula>0.6</formula>
      <formula>0.71</formula>
    </cfRule>
  </conditionalFormatting>
  <conditionalFormatting sqref="E752:F752">
    <cfRule type="cellIs" dxfId="103" priority="134" operator="between">
      <formula>0.4</formula>
      <formula>0.51</formula>
    </cfRule>
  </conditionalFormatting>
  <conditionalFormatting sqref="E753:F753">
    <cfRule type="cellIs" dxfId="102" priority="133" operator="between">
      <formula>0.3</formula>
      <formula>0.41</formula>
    </cfRule>
  </conditionalFormatting>
  <conditionalFormatting sqref="E754:F754">
    <cfRule type="cellIs" dxfId="101" priority="132" operator="between">
      <formula>0.2</formula>
      <formula>0.31</formula>
    </cfRule>
  </conditionalFormatting>
  <conditionalFormatting sqref="E755:F755">
    <cfRule type="cellIs" dxfId="100" priority="131" operator="between">
      <formula>0.1</formula>
      <formula>0.21</formula>
    </cfRule>
  </conditionalFormatting>
  <conditionalFormatting sqref="E756:F756">
    <cfRule type="cellIs" dxfId="99" priority="130" operator="between">
      <formula>0</formula>
      <formula>0.11</formula>
    </cfRule>
  </conditionalFormatting>
  <conditionalFormatting sqref="E750:F750">
    <cfRule type="cellIs" dxfId="98" priority="129" operator="between">
      <formula>0.7</formula>
      <formula>0.81</formula>
    </cfRule>
  </conditionalFormatting>
  <conditionalFormatting sqref="L747:M747">
    <cfRule type="cellIs" dxfId="97" priority="128" operator="between">
      <formula>0.9</formula>
      <formula>1.01</formula>
    </cfRule>
  </conditionalFormatting>
  <conditionalFormatting sqref="L748:M748">
    <cfRule type="cellIs" dxfId="96" priority="127" operator="between">
      <formula>0.8</formula>
      <formula>0.91</formula>
    </cfRule>
  </conditionalFormatting>
  <conditionalFormatting sqref="L749:M749">
    <cfRule type="cellIs" dxfId="95" priority="126" operator="between">
      <formula>0.8</formula>
      <formula>0.91</formula>
    </cfRule>
  </conditionalFormatting>
  <conditionalFormatting sqref="L750:M750">
    <cfRule type="cellIs" dxfId="94" priority="125" operator="between">
      <formula>0.7</formula>
      <formula>0.81</formula>
    </cfRule>
  </conditionalFormatting>
  <conditionalFormatting sqref="L752:M752">
    <cfRule type="cellIs" dxfId="93" priority="124" operator="between">
      <formula>0.4</formula>
      <formula>0.51</formula>
    </cfRule>
  </conditionalFormatting>
  <conditionalFormatting sqref="L751:M751">
    <cfRule type="cellIs" dxfId="92" priority="123" operator="between">
      <formula>0.6</formula>
      <formula>0.71</formula>
    </cfRule>
  </conditionalFormatting>
  <conditionalFormatting sqref="L753:M753">
    <cfRule type="cellIs" dxfId="91" priority="122" operator="between">
      <formula>0.3</formula>
      <formula>0.41</formula>
    </cfRule>
  </conditionalFormatting>
  <conditionalFormatting sqref="L754:M754">
    <cfRule type="cellIs" dxfId="90" priority="121" operator="between">
      <formula>0.2</formula>
      <formula>0.31</formula>
    </cfRule>
  </conditionalFormatting>
  <conditionalFormatting sqref="L755:M755">
    <cfRule type="cellIs" dxfId="89" priority="120" operator="between">
      <formula>0.1</formula>
      <formula>0.21</formula>
    </cfRule>
  </conditionalFormatting>
  <conditionalFormatting sqref="L756:M756">
    <cfRule type="cellIs" dxfId="88" priority="119" operator="between">
      <formula>0</formula>
      <formula>0.11</formula>
    </cfRule>
  </conditionalFormatting>
  <conditionalFormatting sqref="I751:J751">
    <cfRule type="cellIs" dxfId="87" priority="64" operator="between">
      <formula>0.5</formula>
      <formula>0.61</formula>
    </cfRule>
  </conditionalFormatting>
  <conditionalFormatting sqref="I752:J752">
    <cfRule type="cellIs" dxfId="86" priority="63" operator="between">
      <formula>0.4</formula>
      <formula>0.51</formula>
    </cfRule>
  </conditionalFormatting>
  <conditionalFormatting sqref="I753:J753">
    <cfRule type="cellIs" dxfId="85" priority="62" operator="between">
      <formula>0.3</formula>
      <formula>0.41</formula>
    </cfRule>
  </conditionalFormatting>
  <conditionalFormatting sqref="I754:J754">
    <cfRule type="cellIs" dxfId="84" priority="61" operator="between">
      <formula>0.2</formula>
      <formula>0.31</formula>
    </cfRule>
  </conditionalFormatting>
  <conditionalFormatting sqref="I755:J755">
    <cfRule type="cellIs" dxfId="83" priority="60" operator="between">
      <formula>0.1</formula>
      <formula>0.21</formula>
    </cfRule>
  </conditionalFormatting>
  <conditionalFormatting sqref="I748:J748">
    <cfRule type="cellIs" dxfId="82" priority="59" operator="between">
      <formula>0.8</formula>
      <formula>0.91</formula>
    </cfRule>
  </conditionalFormatting>
  <conditionalFormatting sqref="I747:J747">
    <cfRule type="cellIs" dxfId="81" priority="58" operator="between">
      <formula>0.9</formula>
      <formula>1.01</formula>
    </cfRule>
  </conditionalFormatting>
  <conditionalFormatting sqref="E612:M613">
    <cfRule type="containsText" dxfId="80" priority="55" operator="containsText" text="bad">
      <formula>NOT(ISERROR(SEARCH("bad",E612)))</formula>
    </cfRule>
    <cfRule type="containsText" dxfId="79" priority="56" operator="containsText" text="good">
      <formula>NOT(ISERROR(SEARCH("good",E612)))</formula>
    </cfRule>
    <cfRule type="containsText" dxfId="78" priority="57" operator="containsText" text="Mouses over">
      <formula>NOT(ISERROR(SEARCH("Mouses over",E612)))</formula>
    </cfRule>
  </conditionalFormatting>
  <conditionalFormatting sqref="B1324">
    <cfRule type="containsText" dxfId="77" priority="54" operator="containsText" text="led">
      <formula>NOT(ISERROR(SEARCH("led",B1324)))</formula>
    </cfRule>
  </conditionalFormatting>
  <conditionalFormatting sqref="B1418">
    <cfRule type="containsText" dxfId="76" priority="52" operator="containsText" text="led">
      <formula>NOT(ISERROR(SEARCH("led",B1418)))</formula>
    </cfRule>
  </conditionalFormatting>
  <conditionalFormatting sqref="B1509">
    <cfRule type="containsText" dxfId="75" priority="51" operator="containsText" text="led">
      <formula>NOT(ISERROR(SEARCH("led",B1509)))</formula>
    </cfRule>
  </conditionalFormatting>
  <conditionalFormatting sqref="B1106:M1111">
    <cfRule type="containsText" dxfId="74" priority="50" operator="containsText" text="DROPDOWN">
      <formula>NOT(ISERROR(SEARCH("DROPDOWN",B1106)))</formula>
    </cfRule>
  </conditionalFormatting>
  <conditionalFormatting sqref="B981:M983">
    <cfRule type="containsText" dxfId="73" priority="49" operator="containsText" text="SELECT">
      <formula>NOT(ISERROR(SEARCH("SELECT",B981)))</formula>
    </cfRule>
  </conditionalFormatting>
  <conditionalFormatting sqref="B996:M998">
    <cfRule type="containsText" dxfId="72" priority="48" operator="containsText" text="Challenge">
      <formula>NOT(ISERROR(SEARCH("Challenge",B996)))</formula>
    </cfRule>
  </conditionalFormatting>
  <conditionalFormatting sqref="B1233:M1235">
    <cfRule type="cellIs" dxfId="71" priority="47" operator="equal">
      <formula>0</formula>
    </cfRule>
  </conditionalFormatting>
  <dataValidations count="27">
    <dataValidation type="list" allowBlank="1" showInputMessage="1" showErrorMessage="1" sqref="E129:H130" xr:uid="{00000000-0002-0000-0000-000000000000}">
      <formula1>$BM$146:$BM$153</formula1>
    </dataValidation>
    <dataValidation type="list" allowBlank="1" showInputMessage="1" showErrorMessage="1" sqref="E63:M64" xr:uid="{00000000-0002-0000-0000-000001000000}">
      <formula1>$BF$74:$BF$76</formula1>
    </dataValidation>
    <dataValidation type="list" allowBlank="1" showInputMessage="1" showErrorMessage="1" sqref="D202:K203" xr:uid="{00000000-0002-0000-0000-000002000000}">
      <formula1>$BW$203:$BW$204</formula1>
    </dataValidation>
    <dataValidation type="list" allowBlank="1" showInputMessage="1" showErrorMessage="1" sqref="D204:K205" xr:uid="{00000000-0002-0000-0000-000003000000}">
      <formula1>$BW$205:$BW$206</formula1>
    </dataValidation>
    <dataValidation type="list" allowBlank="1" showInputMessage="1" showErrorMessage="1" sqref="D206:K207" xr:uid="{00000000-0002-0000-0000-000004000000}">
      <formula1>$BW$207:$BW$208</formula1>
    </dataValidation>
    <dataValidation type="list" allowBlank="1" showInputMessage="1" showErrorMessage="1" sqref="D208:K209" xr:uid="{00000000-0002-0000-0000-000005000000}">
      <formula1>$BW$209:$BW$210</formula1>
    </dataValidation>
    <dataValidation type="list" allowBlank="1" showInputMessage="1" showErrorMessage="1" sqref="D210:K211" xr:uid="{00000000-0002-0000-0000-000006000000}">
      <formula1>$BW$211:$BW$212</formula1>
    </dataValidation>
    <dataValidation type="list" allowBlank="1" showInputMessage="1" showErrorMessage="1" sqref="D212:K213" xr:uid="{00000000-0002-0000-0000-000007000000}">
      <formula1>$BW$213:$BW$214</formula1>
    </dataValidation>
    <dataValidation type="list" allowBlank="1" showInputMessage="1" showErrorMessage="1" sqref="D214:K215" xr:uid="{00000000-0002-0000-0000-000008000000}">
      <formula1>$BW$215:$BW$216</formula1>
    </dataValidation>
    <dataValidation type="list" allowBlank="1" showInputMessage="1" showErrorMessage="1" sqref="D216:K217" xr:uid="{00000000-0002-0000-0000-000009000000}">
      <formula1>$BW$217:$BW$218</formula1>
    </dataValidation>
    <dataValidation type="list" allowBlank="1" showInputMessage="1" showErrorMessage="1" sqref="D218:K219" xr:uid="{00000000-0002-0000-0000-00000A000000}">
      <formula1>$BW$219:$BW$220</formula1>
    </dataValidation>
    <dataValidation type="list" allowBlank="1" showInputMessage="1" showErrorMessage="1" sqref="D220:K221" xr:uid="{00000000-0002-0000-0000-00000B000000}">
      <formula1>$BW$221:$BW$222</formula1>
    </dataValidation>
    <dataValidation type="list" allowBlank="1" showInputMessage="1" showErrorMessage="1" sqref="H262 H265 H259 H256 H253 H250 H247 H244" xr:uid="{00000000-0002-0000-0000-00000C000000}">
      <formula1>$BT$236:$BT$240</formula1>
    </dataValidation>
    <dataValidation type="list" allowBlank="1" showInputMessage="1" showErrorMessage="1" sqref="E612:M613" xr:uid="{00000000-0002-0000-0000-00000D000000}">
      <formula1>$BE$606:$BE$607</formula1>
    </dataValidation>
    <dataValidation type="list" allowBlank="1" showInputMessage="1" showErrorMessage="1" sqref="I1317:M1322 I1502:M1507 I1411:M1416" xr:uid="{00000000-0002-0000-0000-00000E000000}">
      <formula1>$BE$1301:$BE$1305</formula1>
    </dataValidation>
    <dataValidation type="list" allowBlank="1" showInputMessage="1" showErrorMessage="1" sqref="G1102:M1104" xr:uid="{00000000-0002-0000-0000-00000F000000}">
      <formula1>$BB$1096:$BB$1102</formula1>
    </dataValidation>
    <dataValidation type="list" allowBlank="1" showInputMessage="1" showErrorMessage="1" sqref="H1139:M1140" xr:uid="{00000000-0002-0000-0000-000010000000}">
      <formula1>$BB$1141:$BB$1144</formula1>
    </dataValidation>
    <dataValidation type="list" allowBlank="1" showInputMessage="1" showErrorMessage="1" sqref="H1141:M1142" xr:uid="{00000000-0002-0000-0000-000011000000}">
      <formula1>$BE$1141:$BE$1145</formula1>
    </dataValidation>
    <dataValidation type="list" allowBlank="1" showInputMessage="1" showErrorMessage="1" sqref="G1176:M1177" xr:uid="{00000000-0002-0000-0000-000012000000}">
      <formula1>$BB$1173:$BB$1177</formula1>
    </dataValidation>
    <dataValidation type="list" allowBlank="1" showInputMessage="1" showErrorMessage="1" sqref="G978:M979" xr:uid="{00000000-0002-0000-0000-000013000000}">
      <formula1>$BB$971:$BB$975</formula1>
    </dataValidation>
    <dataValidation type="list" allowBlank="1" showInputMessage="1" showErrorMessage="1" sqref="M761:M770 F761:F770" xr:uid="{00000000-0002-0000-0000-000014000000}">
      <formula1>$BP$234:$BP$235</formula1>
    </dataValidation>
    <dataValidation type="list" allowBlank="1" showInputMessage="1" showErrorMessage="1" sqref="E759:F759 L759:M759" xr:uid="{00000000-0002-0000-0000-000015000000}">
      <formula1>$BR$234:$BR$235</formula1>
    </dataValidation>
    <dataValidation type="list" allowBlank="1" showInputMessage="1" showErrorMessage="1" sqref="C1047:L1047" xr:uid="{00000000-0002-0000-0000-000018000000}">
      <formula1>$BB$1047:$BB$1054</formula1>
    </dataValidation>
    <dataValidation type="list" allowBlank="1" showInputMessage="1" showErrorMessage="1" sqref="B173:G173" xr:uid="{00000000-0002-0000-0000-000019000000}">
      <formula1>$BB$101:$BB$116</formula1>
    </dataValidation>
    <dataValidation type="list" allowBlank="1" showInputMessage="1" showErrorMessage="1" sqref="H173:M173" xr:uid="{00000000-0002-0000-0000-00001A000000}">
      <formula1>$BC$101:$BC$116</formula1>
    </dataValidation>
    <dataValidation type="list" allowBlank="1" showInputMessage="1" showErrorMessage="1" sqref="B176:M177" xr:uid="{00000000-0002-0000-0000-00001B000000}">
      <formula1>$BL$101:$BL$102</formula1>
    </dataValidation>
    <dataValidation type="list" errorStyle="information" allowBlank="1" showInputMessage="1" showErrorMessage="1" sqref="B1233:M1235" xr:uid="{00000000-0002-0000-0000-00001C000000}">
      <formula1>$BB$1047:$BB$1054</formula1>
    </dataValidation>
  </dataValidations>
  <hyperlinks>
    <hyperlink ref="B1317:H1318" location="HP!B1194" tooltip="CLICK TO SELECT ISSUE ABOVE" display="HP!B1194" xr:uid="{00000000-0004-0000-0000-000000000000}"/>
    <hyperlink ref="B1319:H1320" location="HP!B1194" tooltip="CLICK TO SELECT ISSUE ABOVE" display="HP!B1194" xr:uid="{00000000-0004-0000-0000-000001000000}"/>
    <hyperlink ref="B1321:H1322" location="HP!B1194" tooltip="CLICK TO SELECT ISSUE ABOVE" display="HP!B1194" xr:uid="{00000000-0004-0000-0000-000002000000}"/>
    <hyperlink ref="B1411:H1412" location="HP!B1194" tooltip="CLICK TO CHANGE ISSUE" display="HP!B1194" xr:uid="{00000000-0004-0000-0000-000003000000}"/>
    <hyperlink ref="B1413:H1414" location="HP!B1194" tooltip="CLICK TO CHANGE ISSUE" display="HP!B1194" xr:uid="{00000000-0004-0000-0000-000004000000}"/>
    <hyperlink ref="B1415:H1416" location="HP!B1194" tooltip="CLICK TO CHANGE ISSUE" display="HP!B1194" xr:uid="{00000000-0004-0000-0000-000005000000}"/>
    <hyperlink ref="B1502:H1503" location="HP!B1194" tooltip="CLICK TO CHANGE POLITICAL ISSUE" display="HP!B1194" xr:uid="{00000000-0004-0000-0000-000006000000}"/>
    <hyperlink ref="B1504:H1505" location="HP!B1194" tooltip="CLICK TO CHANGE POLITICAL ISSUE" display="HP!B1194" xr:uid="{00000000-0004-0000-0000-000007000000}"/>
    <hyperlink ref="B1506:H1507" location="HP!B1194" tooltip="CLICK TO CHANGE POLITICAL ISSUE" display="HP!B1194" xr:uid="{00000000-0004-0000-0000-000008000000}"/>
    <hyperlink ref="G8" location="HP!A45:N88" tooltip="go to page 2: HARMONY POLITICS" display="HARMONY POLITICS" xr:uid="{00000000-0004-0000-0000-000009000000}"/>
    <hyperlink ref="L8" location="HP!E63" tooltip="Go to page 2 Interactive: Which do you think is more true?" display="Interactive" xr:uid="{00000000-0004-0000-0000-00000A000000}"/>
    <hyperlink ref="G7" location="HP!A1:N2" tooltip="go to top" display="HARMONY POLITICS" xr:uid="{00000000-0004-0000-0000-00000B000000}"/>
    <hyperlink ref="B89" location="HP!A1:N2" tooltip="Back to top" display="Understanding politics: It's about needs" xr:uid="{00000000-0004-0000-0000-00000C000000}"/>
    <hyperlink ref="A89" location="HP!A45:N46" tooltip="Previous page header" display="#" xr:uid="{00000000-0004-0000-0000-00000D000000}"/>
    <hyperlink ref="N89" location="HP!A121:N157" tooltip="Next page" display="$" xr:uid="{00000000-0004-0000-0000-00000E000000}"/>
    <hyperlink ref="L10" location="HP!E129" tooltip="go to page 4 Interactive: core need" display="Interactive" xr:uid="{00000000-0004-0000-0000-00000F000000}"/>
    <hyperlink ref="G9" location="HP!A89:N89" tooltip="go to page 3 header: Understanding politics, it's about needs" display="Understanding politics: It's about needs" xr:uid="{00000000-0004-0000-0000-000010000000}"/>
    <hyperlink ref="G10" location="HP!A121" tooltip="go to page 4 header: Your experience of needs" display="Your experience of needs" xr:uid="{00000000-0004-0000-0000-000011000000}"/>
    <hyperlink ref="G11" location="HP!A158:N158" tooltip="go to page 5 header: Your prioritizing needs (reason be damned)" display="Your prioritizing needs (reason be damned)" xr:uid="{00000000-0004-0000-0000-000012000000}"/>
    <hyperlink ref="G12" location="HP!A198:N198" tooltip="go to page 6 header: Your psychosocial orientation" display="Your psychosocial orientation" xr:uid="{00000000-0004-0000-0000-000013000000}"/>
    <hyperlink ref="G13" location="HP!A236:N236" tooltip="go to page 7 header: Correlating your political views" display="Correlating your political views" xr:uid="{00000000-0004-0000-0000-000014000000}"/>
    <hyperlink ref="L12" location="HP!D202" tooltip="go to page 6 Interactive: Psychosocial orientation" display="Interactive" xr:uid="{00000000-0004-0000-0000-000015000000}"/>
    <hyperlink ref="L11" location="HP!B173" tooltip="go to page 5 Interactive: your self-needs &amp; social-needs" display="Interactive" xr:uid="{00000000-0004-0000-0000-000016000000}"/>
    <hyperlink ref="L13" location="HP!H244" tooltip="go to page 7 Interactive: correlating your political views" display="Interactive" xr:uid="{00000000-0004-0000-0000-000017000000}"/>
    <hyperlink ref="M8" location="HP!A45:N88" tooltip="go to p. 2" display="HP!A45:N88" xr:uid="{00000000-0004-0000-0000-000018000000}"/>
    <hyperlink ref="M9" location="HP!A89:N120" tooltip="go to p. 3" display="HP!A89:N120" xr:uid="{00000000-0004-0000-0000-000019000000}"/>
    <hyperlink ref="B121" location="HP!A1:N2" tooltip="go to top" display="Your experience of needs" xr:uid="{00000000-0004-0000-0000-00001A000000}"/>
    <hyperlink ref="B158" location="HP!A1:N2" tooltip="go to top" display="Your prioritizing needs (reason be damned)" xr:uid="{00000000-0004-0000-0000-00001B000000}"/>
    <hyperlink ref="B198" location="HP!A1:N2" tooltip="go to top" display="Your psychosocial orientation" xr:uid="{00000000-0004-0000-0000-00001C000000}"/>
    <hyperlink ref="B236" location="HP!A1:N2" tooltip="go to top" display="Correlating your political views" xr:uid="{00000000-0004-0000-0000-00001D000000}"/>
    <hyperlink ref="B272" location="HP!A1:N2" tooltip="go to top" display="Your prioritizing psychosocial needs" xr:uid="{00000000-0004-0000-0000-00001E000000}"/>
    <hyperlink ref="B319" location="HP!A1:N2" tooltip="go to top" display="Needs first, reasons later" xr:uid="{00000000-0004-0000-0000-00001F000000}"/>
    <hyperlink ref="B413" location="HP!A1:N2" tooltip="go to top" display="We believe what we need to believe" xr:uid="{00000000-0004-0000-0000-000020000000}"/>
    <hyperlink ref="M14" location="HP!A272:N318" tooltip="go to p. 8" display="HP!A272:N318" xr:uid="{00000000-0004-0000-0000-000021000000}"/>
    <hyperlink ref="M10" location="HP!A121:N157" tooltip="go to p. 4" display="HP!A121:N157" xr:uid="{00000000-0004-0000-0000-000022000000}"/>
    <hyperlink ref="B1516" location="HP!A1:N2" tooltip="go to top" display="Takeaway" xr:uid="{00000000-0004-0000-0000-000023000000}"/>
    <hyperlink ref="B1472" location="HP!A1:N2" tooltip="go to top" display="Value framing (v. mutual hostilities)" xr:uid="{00000000-0004-0000-0000-000024000000}"/>
    <hyperlink ref="B1425" location="HP!A1:N2" tooltip="go to top" display="3. DEPOLARIZE" xr:uid="{00000000-0004-0000-0000-000025000000}"/>
    <hyperlink ref="B1378" location="HP!A1:N2" tooltip="go to top" display="Impact Engaging (v. normative alienation)" xr:uid="{00000000-0004-0000-0000-000026000000}"/>
    <hyperlink ref="B1331" location="HP!A1:N2" tooltip="go to top" display="2. DEALIENATE" xr:uid="{00000000-0004-0000-0000-000027000000}"/>
    <hyperlink ref="B1285" location="HP!A1:N2" tooltip="go to top" display="Relational knowing (v. relieve believe)" xr:uid="{00000000-0004-0000-0000-000028000000}"/>
    <hyperlink ref="B1238" location="HP!A1:N2" tooltip="go to top" display="1. DEGENERALIZE" xr:uid="{00000000-0004-0000-0000-000029000000}"/>
    <hyperlink ref="B1191" location="HP!A1:N2" tooltip="go to top" display="Harmonize diverse politicized needs" xr:uid="{00000000-0004-0000-0000-00002A000000}"/>
    <hyperlink ref="B1151" location="HP!A1:N2" tooltip="go to top" display="SWOT personalized" xr:uid="{00000000-0004-0000-0000-00002B000000}"/>
    <hyperlink ref="B1113" location="HP!A1:N2" tooltip="go to top" display="Lateral array" xr:uid="{00000000-0004-0000-0000-00002C000000}"/>
    <hyperlink ref="B1076" location="HP!A1:N2" tooltip="go to top" display="Harmony politics - mature responsiveness" xr:uid="{00000000-0004-0000-0000-00002D000000}"/>
    <hyperlink ref="B1044" location="HP!A1:N2" tooltip="go to top" display="Politics as usual - immature polarizing" xr:uid="{00000000-0004-0000-0000-00002E000000}"/>
    <hyperlink ref="B1000" location="HP!A1:N2" tooltip="go to top" display="Eight key issues to apply Harmony Politics" xr:uid="{00000000-0004-0000-0000-00002F000000}"/>
    <hyperlink ref="B966" location="HP!A1:N2" tooltip="go to top" display="Dissolving the pain of divisive tribal politics" xr:uid="{00000000-0004-0000-0000-000030000000}"/>
    <hyperlink ref="B919" location="HP!A1:N2" tooltip="go to top" display="Beyond Left and Right Populism" xr:uid="{00000000-0004-0000-0000-000031000000}"/>
    <hyperlink ref="B872" location="HP!A1:N2" tooltip="go to top" display="Wellness is psychosocial" xr:uid="{00000000-0004-0000-0000-000032000000}"/>
    <hyperlink ref="B825" location="HP!A1:N2" tooltip="go to top" display="Premature rush to fight" xr:uid="{00000000-0004-0000-0000-000033000000}"/>
    <hyperlink ref="B778" location="HP!A1:N2" tooltip="go to top" display="Keeping ourselves down" xr:uid="{00000000-0004-0000-0000-000034000000}"/>
    <hyperlink ref="B741" location="HP!A1:N2" tooltip="go to top" display="Populism: distrusting elite establishment" xr:uid="{00000000-0004-0000-0000-000035000000}"/>
    <hyperlink ref="B694" location="HP!A1:N2" tooltip="go to top" display="Political leadership or political elitism?" xr:uid="{00000000-0004-0000-0000-000036000000}"/>
    <hyperlink ref="B647" location="HP!A1:N2" tooltip="go to top" display="Psychosocial continuum" xr:uid="{00000000-0004-0000-0000-000037000000}"/>
    <hyperlink ref="B601" location="HP!A1:N2" tooltip="go to top" display="By the way…" xr:uid="{00000000-0004-0000-0000-000038000000}"/>
    <hyperlink ref="B554" location="HP!A1:N2" tooltip="go to top" display="Psychosocial orientation continuum" xr:uid="{00000000-0004-0000-0000-000039000000}"/>
    <hyperlink ref="B507" location="HP!A1:N2" tooltip="go to top" display="Call for empathy" xr:uid="{00000000-0004-0000-0000-00003A000000}"/>
    <hyperlink ref="B460" location="HP!A1:N2" tooltip="go to top" display="You disagree with their priority of needs?" xr:uid="{00000000-0004-0000-0000-00003B000000}"/>
    <hyperlink ref="B366" location="HP!A1:N2" tooltip="go to top" display="Oriented to prioritize your psychosocial needs" xr:uid="{00000000-0004-0000-0000-00003C000000}"/>
    <hyperlink ref="N1516" location="campaign!A1:AB2" tooltip="to next tab" display="&quot;" xr:uid="{00000000-0004-0000-0000-00003D000000}"/>
    <hyperlink ref="G14" location="HP!A272:N272" tooltip="go to p. 8 header: Your prioritizing psychosocial needs" display="Your prioritizing psychosocial needs" xr:uid="{00000000-0004-0000-0000-000048000000}"/>
    <hyperlink ref="M15" location="HP!A319:N365" tooltip="go to p. 9" display="HP!A319:N365" xr:uid="{00000000-0004-0000-0000-000049000000}"/>
    <hyperlink ref="M11" location="HP!A158:N197" tooltip="go to p. 5" display="HP!A158:N197" xr:uid="{00000000-0004-0000-0000-00004A000000}"/>
    <hyperlink ref="M12" location="HP!A198:N235" tooltip="go to p. 6" display="HP!A198:N235" xr:uid="{00000000-0004-0000-0000-00004B000000}"/>
    <hyperlink ref="M13" location="HP!A236:N271" tooltip="go to p. 7" display="HP!A236:N271" xr:uid="{00000000-0004-0000-0000-00004C000000}"/>
    <hyperlink ref="M16" location="HP!A366:N412" tooltip="go to p. 10" display="HP!A366:N412" xr:uid="{00000000-0004-0000-0000-00004D000000}"/>
    <hyperlink ref="M17" location="HP!A413:N459" tooltip="go to p. 11" display="HP!A413:N459" xr:uid="{00000000-0004-0000-0000-00004E000000}"/>
    <hyperlink ref="M18" location="HP!A460:N506" tooltip="go to p. 12" display="HP!A460:N506" xr:uid="{00000000-0004-0000-0000-00004F000000}"/>
    <hyperlink ref="M19" location="HP!A507:N553" tooltip="go to p. 13" display="HP!A507:N553" xr:uid="{00000000-0004-0000-0000-000050000000}"/>
    <hyperlink ref="M20" location="HP!A554:N600" tooltip="go to p. 14" display="HP!A554:N600" xr:uid="{00000000-0004-0000-0000-000051000000}"/>
    <hyperlink ref="M21" location="HP!A601:N646" tooltip="go to p. 15" display="HP!A601:N646" xr:uid="{00000000-0004-0000-0000-000052000000}"/>
    <hyperlink ref="M22" location="HP!A647:N693" tooltip="go to p. 16" display="HP!A647:N693" xr:uid="{00000000-0004-0000-0000-000053000000}"/>
    <hyperlink ref="M23" location="HP!A694:N740" tooltip="go to p. 17" display="HP!A694:N740" xr:uid="{00000000-0004-0000-0000-000054000000}"/>
    <hyperlink ref="M24" location="HP!A741:N777" tooltip="go to p. 18" display="HP!A741:N777" xr:uid="{00000000-0004-0000-0000-000055000000}"/>
    <hyperlink ref="M25" location="HP!A778:N824" tooltip="go to p. 19" display="HP!A778:N824" xr:uid="{00000000-0004-0000-0000-000056000000}"/>
    <hyperlink ref="M26" location="HP!A825:N871" tooltip="go to p. 20" display="HP!A825:N871" xr:uid="{00000000-0004-0000-0000-000057000000}"/>
    <hyperlink ref="M27" location="HP!A872:N918" tooltip="go to p. 21" display="HP!A872:N918" xr:uid="{00000000-0004-0000-0000-000058000000}"/>
    <hyperlink ref="M28" location="HP!A919:N965" tooltip="go to p. 22" display="HP!A919:N965" xr:uid="{00000000-0004-0000-0000-000059000000}"/>
    <hyperlink ref="M29" location="HP!A966:N999" tooltip="go to p. 23" display="HP!A966:N999" xr:uid="{00000000-0004-0000-0000-00005A000000}"/>
    <hyperlink ref="M30" location="HP!A1000:N1043" tooltip="go to p. 24" display="HP!A1000:N1043" xr:uid="{00000000-0004-0000-0000-00005B000000}"/>
    <hyperlink ref="M31" location="HP!A1044:N1075" tooltip="go to p. 25" display="HP!A1044:N1075" xr:uid="{00000000-0004-0000-0000-00005C000000}"/>
    <hyperlink ref="M32" location="HP!A1076:N1112" tooltip="go to p. 26" display="HP!A1076:N1112" xr:uid="{00000000-0004-0000-0000-00005D000000}"/>
    <hyperlink ref="M33" location="HP!A1113:N1150" tooltip="go to p. 27" display="HP!A1113:N1150" xr:uid="{00000000-0004-0000-0000-00005E000000}"/>
    <hyperlink ref="M34" location="HP!A1151:N1190" tooltip="go to p. 28" display="HP!A1151:N1190" xr:uid="{00000000-0004-0000-0000-00005F000000}"/>
    <hyperlink ref="M35" location="HP!A1191:N1237" tooltip="go to p. 29" display="HP!A1191:N1237" xr:uid="{00000000-0004-0000-0000-000060000000}"/>
    <hyperlink ref="M36" location="HP!A1238:N1284" tooltip="go to p. 30" display="HP!A1238:N1284" xr:uid="{00000000-0004-0000-0000-000061000000}"/>
    <hyperlink ref="M37" location="HP!A1285:N1330" tooltip="go to p. 31" display="HP!A1285:N1330" xr:uid="{00000000-0004-0000-0000-000062000000}"/>
    <hyperlink ref="M38" location="HP!A1331:N1377" tooltip="go to p. 32" display="HP!A1331:N1377" xr:uid="{00000000-0004-0000-0000-000063000000}"/>
    <hyperlink ref="M39" location="HP!A1378:N1424" tooltip="go to p. 33" display="HP!A1378:N1424" xr:uid="{00000000-0004-0000-0000-000064000000}"/>
    <hyperlink ref="M40" location="HP!A1425:N1471" tooltip="go to p. 34" display="HP!A1425:N1471" xr:uid="{00000000-0004-0000-0000-000065000000}"/>
    <hyperlink ref="M41" location="HP!A1472:N1515" tooltip="go to p. 35" display="HP!A1472:N1515" xr:uid="{00000000-0004-0000-0000-000066000000}"/>
    <hyperlink ref="M42" location="HP!A1516:N1546" tooltip="go to p. 36" display="HP!A1516:N1546" xr:uid="{00000000-0004-0000-0000-000067000000}"/>
    <hyperlink ref="A45:N46" location="HP!A1:N1" tooltip="go to top" display="Harmony Politics" xr:uid="{00000000-0004-0000-0000-000068000000}"/>
    <hyperlink ref="G15:K15" location="HP!A319:N319" tooltip="go to p. 9 header: Needs first, reasons later" display="Needs first, reasons later" xr:uid="{00000000-0004-0000-0000-000069000000}"/>
    <hyperlink ref="G16:K16" location="HP!A366:N366" tooltip="go to p. 10 header: Oriented to prioritize your psychosocial needs" display="Oriented to prioritize your psychosocial needs" xr:uid="{00000000-0004-0000-0000-00006A000000}"/>
    <hyperlink ref="G17:K17" location="HP!A413:N413" tooltip="go to p. 11 header: We believe what we need to believe" display="We believe what we need to believe" xr:uid="{00000000-0004-0000-0000-00006B000000}"/>
    <hyperlink ref="G18:K18" location="HP!A460:N460" tooltip="go to p.12 header: You disagree with their priority of needs?" display="You disagree with their priority of needs?" xr:uid="{00000000-0004-0000-0000-00006C000000}"/>
    <hyperlink ref="G19:K19" location="HP!A507:N507" tooltip="go to p. 13 header: Call for empathy" display="Call for empathy" xr:uid="{00000000-0004-0000-0000-00006D000000}"/>
    <hyperlink ref="G20:K20" location="HP!A554:N554" tooltip="go to p. 14 header: Psyhosocial orientation continuum" display="Psychosocial orientation continuum" xr:uid="{00000000-0004-0000-0000-00006E000000}"/>
    <hyperlink ref="G21:K21" location="HP!A601:N601" tooltip="go to p. 15 header: By the way..." display="By the way…" xr:uid="{00000000-0004-0000-0000-00006F000000}"/>
    <hyperlink ref="G22:K22" location="HP!A647:N647" tooltip="go to p. 16 header: Psychosocial continuum" display="Psychosocial continuum" xr:uid="{00000000-0004-0000-0000-000070000000}"/>
    <hyperlink ref="L21" location="HP!E612" tooltip="go to p. 15 interactive: Is pain good or bad?" display="Interactive" xr:uid="{00000000-0004-0000-0000-000071000000}"/>
    <hyperlink ref="G23:K23" location="HP!A694:N694" tooltip="go to p. 17 header: Political leadership or political elitism?" display="Political leadership or political elitism?" xr:uid="{00000000-0004-0000-0000-000072000000}"/>
    <hyperlink ref="G24:K24" location="HP!A741:N741" tooltip="go to p. 18 header: Populism: distrusting elite establishment" display="Populism: distrusting elite establishment" xr:uid="{00000000-0004-0000-0000-000073000000}"/>
    <hyperlink ref="G25:K25" location="HP!A778:N778" tooltip="go to p. 19 header: Keeping ourselves down" display="Keeping ourselves down" xr:uid="{00000000-0004-0000-0000-000074000000}"/>
    <hyperlink ref="G26:K26" location="HP!A825:N825" tooltip="go to p. 20 header: Premature rush to fight" display="Premature rush to fight" xr:uid="{00000000-0004-0000-0000-000075000000}"/>
    <hyperlink ref="G27:K27" location="HP!A872:N872" tooltip="go to p. 21 header: Wellness is psychosocial" display="Wellness is psychosocial" xr:uid="{00000000-0004-0000-0000-000076000000}"/>
    <hyperlink ref="G28:K28" location="HP!A919:N919" tooltip="go to p. 22 header: Beyond Left and Right populism" display="Beyond Left and Right Populism" xr:uid="{00000000-0004-0000-0000-000077000000}"/>
    <hyperlink ref="G29:K29" location="HP!A966:N966" tooltip="go to p. 23 header: Dissolving the pain of divisive tribal politics" display="Dissolving the pain of divisive tribal politics" xr:uid="{00000000-0004-0000-0000-000078000000}"/>
    <hyperlink ref="L24" location="HP!E759" tooltip="go to p. 18 interactive: Elite v. your need fulfillment" display="Interactive" xr:uid="{00000000-0004-0000-0000-000079000000}"/>
    <hyperlink ref="L29" location="HP!G978" tooltip="go to p. 23 interactive: Ready for this?" display="Interactive" xr:uid="{00000000-0004-0000-0000-00007A000000}"/>
    <hyperlink ref="L31" location="HP!C1047" tooltip="go to p. 25 interactive: Select a political issue" display="Interactive" xr:uid="{00000000-0004-0000-0000-00007B000000}"/>
    <hyperlink ref="L32" location="HP!G1102" tooltip="go to p. 26 interactive: your thoughts about political sides" display="Interactive" xr:uid="{00000000-0004-0000-0000-00007C000000}"/>
    <hyperlink ref="L33" location="HP!H1139" tooltip="go to p. 27 interactive: Blame for polarization" display="Interactive" xr:uid="{00000000-0004-0000-0000-00007D000000}"/>
    <hyperlink ref="L34" location="HP!H1139" tooltip="go to p. 28 interactive: Trust politics to serve your needs?" display="Interactive" xr:uid="{00000000-0004-0000-0000-00007E000000}"/>
    <hyperlink ref="L35" location="HP!B1233" tooltip="go to p. 29 interactive: Select a political issue" display="Interactive" xr:uid="{00000000-0004-0000-0000-00007F000000}"/>
    <hyperlink ref="L37" location="HP!I1317" tooltip="go to p. 31 interactive: Relate now to both sides of the issue?" display="Interactive" xr:uid="{00000000-0004-0000-0000-000080000000}"/>
    <hyperlink ref="L39" location="HP!I1411" tooltip="go to p. 33 interactive: Engage other side of issue" display="Interactive" xr:uid="{00000000-0004-0000-0000-000081000000}"/>
    <hyperlink ref="L41" location="HP!I1502" tooltip="go to p. 35 interactive: Replace fighting with appreciation for opposing position" display="Interactive" xr:uid="{00000000-0004-0000-0000-000082000000}"/>
    <hyperlink ref="G30:K30" location="HP!A1000:N1000" tooltip="go to p. 24 header: Eight key issues to apply HP" display="Eight key issues to apply Harmony Politics" xr:uid="{00000000-0004-0000-0000-000084000000}"/>
    <hyperlink ref="G31:K31" location="HP!A1044:N1044" tooltip="go to p. 25 header: Politics as usual - immature polarizing" display="Politics as usual - immature polarizing" xr:uid="{00000000-0004-0000-0000-000085000000}"/>
    <hyperlink ref="G32:K32" location="HP!A1076:N1076" tooltip="go to p. 26 header: Harmony politics - mature responsiveness" display="Harmony politics - mature responsiveness" xr:uid="{00000000-0004-0000-0000-000086000000}"/>
    <hyperlink ref="G33:K33" location="HP!A1113:N1113" tooltip="go to p. 27 header: Lateral array" display="Lateral array" xr:uid="{00000000-0004-0000-0000-000087000000}"/>
    <hyperlink ref="G34:K34" location="HP!A1151:N1151" tooltip="go to p. 28 header: SWOT personalized" display="SWOT personalized" xr:uid="{00000000-0004-0000-0000-000088000000}"/>
    <hyperlink ref="G35:K35" location="HP!A1191:N1191" tooltip="go to p. 29 header: Harmonizing divisive politicized needs" display="Harmonizing diverse politicized needs" xr:uid="{00000000-0004-0000-0000-000089000000}"/>
    <hyperlink ref="G36:K36" location="HP!A1238:N1238" tooltip="go to p. 30 header: 1. DEGENERALIZE" display="1. DEGENERALIZE" xr:uid="{00000000-0004-0000-0000-00008A000000}"/>
    <hyperlink ref="G37:K37" location="HP!A1285:N1285" tooltip="go to p. 31 header: Relational knowing (vs. relieve believe)" display="Relational knowing (vs. relieve believe)" xr:uid="{00000000-0004-0000-0000-00008B000000}"/>
    <hyperlink ref="G38:K38" location="HP!A1331:N1331" tooltip="go to p. 32 header: 2. DEALIENATE" display="2. DEALIENATE" xr:uid="{00000000-0004-0000-0000-00008C000000}"/>
    <hyperlink ref="G39:K39" location="HP!A1378:N1378" tooltip="go to p. 33 header: Impact engaging (vs. impersonal compliance)" display="Impact Engaging (vs. normative alienation)" xr:uid="{00000000-0004-0000-0000-00008D000000}"/>
    <hyperlink ref="G40:K40" location="HP!A1425:N1425" tooltip="go to p. 34 header: 3. DEPOLARIZE" display="3. DEPOLARIZE" xr:uid="{00000000-0004-0000-0000-00008E000000}"/>
    <hyperlink ref="G41:K41" location="HP!A1472:N1472" tooltip="go to p. 35 header: Value framing (vs. mutual hostilities)" display="Value framing (vs. mutual hostilities)" xr:uid="{00000000-0004-0000-0000-00008F000000}"/>
    <hyperlink ref="G42:K42" location="HP!A1516:N1516" tooltip="go to p. 36 header: Takeaway" display="Takeaway" xr:uid="{00000000-0004-0000-0000-000090000000}"/>
    <hyperlink ref="A121" location="HP!A89:N89" tooltip="previous page header" display="#" xr:uid="{00000000-0004-0000-0000-000091000000}"/>
    <hyperlink ref="N121" location="HP!A158:N197" tooltip="next page" display="$" xr:uid="{00000000-0004-0000-0000-000092000000}"/>
    <hyperlink ref="A158" location="HP!A121:N121" tooltip="previous page header" display="#" xr:uid="{00000000-0004-0000-0000-000093000000}"/>
    <hyperlink ref="N158" location="HP!A198:N235" tooltip="next page" display="$" xr:uid="{00000000-0004-0000-0000-000094000000}"/>
    <hyperlink ref="A198" location="HP!A158:N158" tooltip="previous page header" display="#" xr:uid="{00000000-0004-0000-0000-000095000000}"/>
    <hyperlink ref="N198" location="HP!A236:N271" tooltip="next page" display="$" xr:uid="{00000000-0004-0000-0000-000096000000}"/>
    <hyperlink ref="A236" location="HP!A198:N198" tooltip="previous page header" display="#" xr:uid="{00000000-0004-0000-0000-000097000000}"/>
    <hyperlink ref="N236" location="HP!A272:N318" tooltip="next page" display="$" xr:uid="{00000000-0004-0000-0000-000098000000}"/>
    <hyperlink ref="A272" location="HP!A236:N236" tooltip="previous page header" display="#" xr:uid="{00000000-0004-0000-0000-000099000000}"/>
    <hyperlink ref="N272" location="HP!A319:N365" tooltip="next page" display="$" xr:uid="{00000000-0004-0000-0000-00009A000000}"/>
    <hyperlink ref="A319" location="HP!A272:N272" tooltip="previous page header" display="#" xr:uid="{00000000-0004-0000-0000-00009B000000}"/>
    <hyperlink ref="N319" location="HP!A366:N412" tooltip="next page" display="$" xr:uid="{00000000-0004-0000-0000-00009C000000}"/>
    <hyperlink ref="A366" location="HP!A319:N319" tooltip="previous page header" display="#" xr:uid="{00000000-0004-0000-0000-00009D000000}"/>
    <hyperlink ref="N366" location="HP!A413:N459" tooltip="next page" display="$" xr:uid="{00000000-0004-0000-0000-00009E000000}"/>
    <hyperlink ref="A413" location="HP!A366:N366" tooltip="previous page header" display="#" xr:uid="{00000000-0004-0000-0000-00009F000000}"/>
    <hyperlink ref="N413" location="HP!A460:N506" tooltip="next page" display="$" xr:uid="{00000000-0004-0000-0000-0000A0000000}"/>
    <hyperlink ref="A460" location="HP!A413:N413" tooltip="previous page header" display="#" xr:uid="{00000000-0004-0000-0000-0000A1000000}"/>
    <hyperlink ref="N460" location="HP!A507:N553" tooltip="next page" display="$" xr:uid="{00000000-0004-0000-0000-0000A2000000}"/>
    <hyperlink ref="A507" location="HP!A460:N460" tooltip="previous page header" display="#" xr:uid="{00000000-0004-0000-0000-0000A3000000}"/>
    <hyperlink ref="N507" location="HP!A554:N600" tooltip="next page" display="$" xr:uid="{00000000-0004-0000-0000-0000A4000000}"/>
    <hyperlink ref="A554" location="HP!A507:N507" tooltip="previous page header" display="#" xr:uid="{00000000-0004-0000-0000-0000A5000000}"/>
    <hyperlink ref="N554" location="HP!A601:N646" tooltip="next page" display="$" xr:uid="{00000000-0004-0000-0000-0000A6000000}"/>
    <hyperlink ref="A601" location="HP!A554:N554" tooltip="previous page header" display="#" xr:uid="{00000000-0004-0000-0000-0000A7000000}"/>
    <hyperlink ref="N601" location="HP!N647:N693" tooltip="next page" display="$" xr:uid="{00000000-0004-0000-0000-0000A8000000}"/>
    <hyperlink ref="A647" location="HP!A601:N601" tooltip="previous page header" display="#" xr:uid="{00000000-0004-0000-0000-0000A9000000}"/>
    <hyperlink ref="N647" location="HP!A694:N740" tooltip="next page" display="$" xr:uid="{00000000-0004-0000-0000-0000AA000000}"/>
    <hyperlink ref="A694" location="HP!A647:N647" tooltip="previous page header" display="#" xr:uid="{00000000-0004-0000-0000-0000AB000000}"/>
    <hyperlink ref="N694" location="HP!A741:N777" tooltip="next page" display="$" xr:uid="{00000000-0004-0000-0000-0000AC000000}"/>
    <hyperlink ref="A741" location="HP!A694:N694" tooltip="previous page header" display="#" xr:uid="{00000000-0004-0000-0000-0000AD000000}"/>
    <hyperlink ref="N741" location="HP!A778:N824" tooltip="next page" display="$" xr:uid="{00000000-0004-0000-0000-0000AE000000}"/>
    <hyperlink ref="A778" location="HP!A741:N741" tooltip="previous page header" display="#" xr:uid="{00000000-0004-0000-0000-0000AF000000}"/>
    <hyperlink ref="N778" location="HP!A825:N871" tooltip="next page" display="$" xr:uid="{00000000-0004-0000-0000-0000B0000000}"/>
    <hyperlink ref="A825" location="HP!A778:N778" tooltip="previous page header" display="#" xr:uid="{00000000-0004-0000-0000-0000B1000000}"/>
    <hyperlink ref="N825" location="HP!A872:N918" tooltip="next page" display="$" xr:uid="{00000000-0004-0000-0000-0000B2000000}"/>
    <hyperlink ref="A872" location="HP!A825:N825" tooltip="previous page header" display="#" xr:uid="{00000000-0004-0000-0000-0000B3000000}"/>
    <hyperlink ref="N872" location="HP!A919:N965" tooltip="next page" display="$" xr:uid="{00000000-0004-0000-0000-0000B4000000}"/>
    <hyperlink ref="A919" location="HP!A872:N872" tooltip="previous page header" display="#" xr:uid="{00000000-0004-0000-0000-0000B5000000}"/>
    <hyperlink ref="N919" location="HP!A966:N999" tooltip="next page" display="$" xr:uid="{00000000-0004-0000-0000-0000B6000000}"/>
    <hyperlink ref="A966" location="HP!A919:N919" tooltip="previous page header" display="#" xr:uid="{00000000-0004-0000-0000-0000B7000000}"/>
    <hyperlink ref="N966" location="HP!A1000:N1043" tooltip="next page" display="$" xr:uid="{00000000-0004-0000-0000-0000B8000000}"/>
    <hyperlink ref="A1000" location="HP!A966:N966" tooltip="previous page header" display="#" xr:uid="{00000000-0004-0000-0000-0000B9000000}"/>
    <hyperlink ref="N1000" location="HP!A1044:N1075" tooltip="next page" display="$" xr:uid="{00000000-0004-0000-0000-0000BA000000}"/>
    <hyperlink ref="A1044" location="HP!A1000:N1000" tooltip="previous page header" display="#" xr:uid="{00000000-0004-0000-0000-0000BB000000}"/>
    <hyperlink ref="N1044" location="HP!A1076:N1112" tooltip="next page" display="$" xr:uid="{00000000-0004-0000-0000-0000BC000000}"/>
    <hyperlink ref="A1076" location="HP!A1044:N1044" tooltip="previous page header" display="#" xr:uid="{00000000-0004-0000-0000-0000BD000000}"/>
    <hyperlink ref="N1076" location="HP!A1113:N1150" display="$" xr:uid="{00000000-0004-0000-0000-0000BE000000}"/>
    <hyperlink ref="A1113" location="HP!A1076:N1076" tooltip="previous page header" display="#" xr:uid="{00000000-0004-0000-0000-0000BF000000}"/>
    <hyperlink ref="N1113" location="HP!A1151:N1190" tooltip="next page" display="$" xr:uid="{00000000-0004-0000-0000-0000C0000000}"/>
    <hyperlink ref="A1151" location="HP!A1113:N1113" tooltip="previous page header" display="#" xr:uid="{00000000-0004-0000-0000-0000C1000000}"/>
    <hyperlink ref="N1151" location="HP!A1191:N1237" tooltip="next page" display="$" xr:uid="{00000000-0004-0000-0000-0000C2000000}"/>
    <hyperlink ref="A1191" location="HP!A1151:N1151" tooltip="previous page header" display="#" xr:uid="{00000000-0004-0000-0000-0000C3000000}"/>
    <hyperlink ref="N1191" location="HP!A1238:N1284" tooltip="next page" display="$" xr:uid="{00000000-0004-0000-0000-0000C4000000}"/>
    <hyperlink ref="A1238" location="HP!A1191:N1191" tooltip="previous page header" display="#" xr:uid="{00000000-0004-0000-0000-0000C5000000}"/>
    <hyperlink ref="N1238" location="HP!A1285:N1330" tooltip="next page" display="$" xr:uid="{00000000-0004-0000-0000-0000C6000000}"/>
    <hyperlink ref="A1285" location="HP!A1238:N1238" tooltip="previous page header" display="#" xr:uid="{00000000-0004-0000-0000-0000C7000000}"/>
    <hyperlink ref="N1285" location="HP!A1331:N1377" tooltip="next page" display="$" xr:uid="{00000000-0004-0000-0000-0000C8000000}"/>
    <hyperlink ref="A1331" location="HP!A1285:N1285" tooltip="previous page header" display="#" xr:uid="{00000000-0004-0000-0000-0000C9000000}"/>
    <hyperlink ref="N1331" location="HP!A1378:N1424" tooltip="next page" display="$" xr:uid="{00000000-0004-0000-0000-0000CA000000}"/>
    <hyperlink ref="A1378" location="HP!A1331:N1331" tooltip="previous page header" display="#" xr:uid="{00000000-0004-0000-0000-0000CB000000}"/>
    <hyperlink ref="N1378" location="HP!A1425:N1471" tooltip="next page" display="$" xr:uid="{00000000-0004-0000-0000-0000CC000000}"/>
    <hyperlink ref="A1425" location="HP!A1378:N1378" tooltip="previous page header" display="#" xr:uid="{00000000-0004-0000-0000-0000CD000000}"/>
    <hyperlink ref="N1425" location="HP!A1472:N1515" tooltip="next page" display="$" xr:uid="{00000000-0004-0000-0000-0000CE000000}"/>
    <hyperlink ref="A1472" location="HP!A1425:N1425" tooltip="previous page header" display="#" xr:uid="{00000000-0004-0000-0000-0000CF000000}"/>
    <hyperlink ref="N1472" location="HP!A1516:N1546" tooltip="next page" display="$" xr:uid="{00000000-0004-0000-0000-0000D0000000}"/>
    <hyperlink ref="A1516" location="HP!A1472:N1472" tooltip="previous page header" display="#" xr:uid="{00000000-0004-0000-0000-0000D1000000}"/>
    <hyperlink ref="B1545:M1545" r:id="rId1" tooltip="click to go online to our Value Relating webste" display="Learn more at https://www.valuerelating.com" xr:uid="{5564DE9A-500C-4A36-841F-842DC1F7B33C}"/>
    <hyperlink ref="B1525:E1525" r:id="rId2" tooltip="click to go to ValueRelating.com/UnifyingPolitics" display="Learn more" xr:uid="{F64E660B-1DCD-4D4B-929D-5AF81CEFF89F}"/>
    <hyperlink ref="B1526:M1526" r:id="rId3" tooltip="click to go online to Unifying Politics, to view these items listed below" display="Go to ValueRelating.com to delve deeper to understand political orientation." xr:uid="{95F9EAAB-91EA-436F-9C4C-51C079D04C21}"/>
    <hyperlink ref="B1536:H1536" location="advocacy!A1:N8" tooltip="click to go to the 'advocacy' tab" display="Advocacy for the politically powerless" xr:uid="{3285E0FC-A8F4-4E14-90C1-3EC1915CBB8C}"/>
    <hyperlink ref="B1538:J1538" location="counselor!A1:N8" tooltip="click to go to the 'counselor' tab" display="For counselors serving ideologically diverse clients" xr:uid="{E7B508B7-5069-499C-A40B-0B6E0BB2709C}"/>
  </hyperlinks>
  <printOptions horizontalCentered="1"/>
  <pageMargins left="0.65" right="0.65" top="0.75" bottom="0.75" header="0.3" footer="0.3"/>
  <pageSetup orientation="portrait" r:id="rId4"/>
  <headerFooter differentFirst="1">
    <oddHeader>&amp;C&amp;"Arial Black,Regular"&amp;16&amp;K009641Value&amp;K004623 &amp;K7030A0Relating</oddHeader>
    <oddFooter>&amp;L&amp;D&amp;CPage &amp;P&amp;R&amp;F; &amp;A</oddFooter>
  </headerFooter>
  <drawing r:id="rId5"/>
  <legacyDrawing r:id="rId6"/>
  <extLst>
    <ext xmlns:x14="http://schemas.microsoft.com/office/spreadsheetml/2009/9/main" uri="{78C0D931-6437-407d-A8EE-F0AAD7539E65}">
      <x14:conditionalFormattings>
        <x14:conditionalFormatting xmlns:xm="http://schemas.microsoft.com/office/excel/2006/main">
          <x14:cfRule type="containsText" priority="161" operator="containsText" id="{B47A9EEC-66DF-4D9F-B835-C56661790F4C}">
            <xm:f>NOT(ISERROR(SEARCH("+",B268)))</xm:f>
            <xm:f>"+"</xm:f>
            <x14:dxf>
              <fill>
                <patternFill>
                  <bgColor rgb="FF007846"/>
                </patternFill>
              </fill>
            </x14:dxf>
          </x14:cfRule>
          <x14:cfRule type="containsText" priority="162" operator="containsText" id="{887885DA-4AD4-4892-AC3E-92DD7681093C}">
            <xm:f>NOT(ISERROR(SEARCH("+",B268)))</xm:f>
            <xm:f>"+"</xm:f>
            <x14:dxf>
              <fill>
                <patternFill>
                  <bgColor theme="9" tint="-0.24994659260841701"/>
                </patternFill>
              </fill>
            </x14:dxf>
          </x14:cfRule>
          <xm:sqref>B268:B270</xm:sqref>
        </x14:conditionalFormatting>
        <x14:conditionalFormatting xmlns:xm="http://schemas.microsoft.com/office/excel/2006/main">
          <x14:cfRule type="containsText" priority="159" operator="containsText" id="{6A084A6D-C0C2-4167-9F66-B09BC49DE4D7}">
            <xm:f>NOT(ISERROR(SEARCH("+",M268)))</xm:f>
            <xm:f>"+"</xm:f>
            <x14:dxf>
              <fill>
                <patternFill>
                  <bgColor rgb="FF007846"/>
                </patternFill>
              </fill>
            </x14:dxf>
          </x14:cfRule>
          <x14:cfRule type="containsText" priority="160" operator="containsText" id="{3C522F69-D309-48AA-B9F4-40C3E1BDBF22}">
            <xm:f>NOT(ISERROR(SEARCH("+",M268)))</xm:f>
            <xm:f>"+"</xm:f>
            <x14:dxf>
              <fill>
                <patternFill>
                  <bgColor theme="9" tint="-0.24994659260841701"/>
                </patternFill>
              </fill>
            </x14:dxf>
          </x14:cfRule>
          <xm:sqref>M268:M270</xm:sqref>
        </x14:conditionalFormatting>
        <x14:conditionalFormatting xmlns:xm="http://schemas.microsoft.com/office/excel/2006/main">
          <x14:cfRule type="containsText" priority="46" operator="containsText" id="{70748F90-A741-4F5C-8594-7CB0C0A4FB13}">
            <xm:f>NOT(ISERROR(SEARCH("+",N66)))</xm:f>
            <xm:f>"+"</xm:f>
            <x14:dxf>
              <fill>
                <patternFill>
                  <bgColor theme="1"/>
                </patternFill>
              </fill>
            </x14:dxf>
          </x14:cfRule>
          <xm:sqref>N66:N84</xm:sqref>
        </x14:conditionalFormatting>
        <x14:conditionalFormatting xmlns:xm="http://schemas.microsoft.com/office/excel/2006/main">
          <x14:cfRule type="containsText" priority="45" operator="containsText" id="{E0F565C5-FDDA-4369-904F-F3B62C385EC3}">
            <xm:f>NOT(ISERROR(SEARCH("+",A66)))</xm:f>
            <xm:f>"+"</xm:f>
            <x14:dxf>
              <fill>
                <patternFill>
                  <bgColor theme="1"/>
                </patternFill>
              </fill>
            </x14:dxf>
          </x14:cfRule>
          <xm:sqref>A66:A84</xm:sqref>
        </x14:conditionalFormatting>
        <x14:conditionalFormatting xmlns:xm="http://schemas.microsoft.com/office/excel/2006/main">
          <x14:cfRule type="containsText" priority="5" operator="containsText" id="{5B0DB68F-229A-4A16-8691-2F7FD7D810D5}">
            <xm:f>NOT(ISERROR(SEARCH($BB$183,B180)))</xm:f>
            <xm:f>$BB$183</xm:f>
            <x14:dxf>
              <font>
                <b/>
                <i/>
                <color theme="1" tint="0.499984740745262"/>
              </font>
            </x14:dxf>
          </x14:cfRule>
          <xm:sqref>B180:M182</xm:sqref>
        </x14:conditionalFormatting>
        <x14:conditionalFormatting xmlns:xm="http://schemas.microsoft.com/office/excel/2006/main">
          <x14:cfRule type="containsText" priority="3" operator="containsText" id="{BDE34E17-B02D-49A4-9843-49325C27A412}">
            <xm:f>NOT(ISERROR(SEARCH($BD$758,E759)))</xm:f>
            <xm:f>$BD$758</xm:f>
            <x14:dxf>
              <font>
                <color rgb="FFC00000"/>
              </font>
              <fill>
                <patternFill patternType="mediumGray">
                  <fgColor rgb="FFFFCCCC"/>
                </patternFill>
              </fill>
            </x14:dxf>
          </x14:cfRule>
          <x14:cfRule type="containsText" priority="4" operator="containsText" id="{A0979088-2551-4605-B15A-7B1BDF042992}">
            <xm:f>NOT(ISERROR(SEARCH($BD$757,E759)))</xm:f>
            <xm:f>$BD$757</xm:f>
            <x14:dxf>
              <font>
                <color rgb="FF0070C0"/>
              </font>
              <fill>
                <patternFill patternType="mediumGray">
                  <fgColor theme="8" tint="0.79998168889431442"/>
                  <bgColor auto="1"/>
                </patternFill>
              </fill>
            </x14:dxf>
          </x14:cfRule>
          <xm:sqref>E759:F759</xm:sqref>
        </x14:conditionalFormatting>
        <x14:conditionalFormatting xmlns:xm="http://schemas.microsoft.com/office/excel/2006/main">
          <x14:cfRule type="containsText" priority="1" operator="containsText" id="{3DF800C1-DEA4-4C03-A420-23E834C6EE6C}">
            <xm:f>NOT(ISERROR(SEARCH($BD$758,L759)))</xm:f>
            <xm:f>$BD$758</xm:f>
            <x14:dxf>
              <font>
                <color rgb="FFC00000"/>
              </font>
              <fill>
                <patternFill patternType="mediumGray">
                  <fgColor rgb="FFFFCCCC"/>
                </patternFill>
              </fill>
              <border>
                <left style="thin">
                  <color rgb="FF780000"/>
                </left>
                <right style="thin">
                  <color rgb="FF780000"/>
                </right>
                <top style="thin">
                  <color rgb="FF780000"/>
                </top>
                <bottom style="thin">
                  <color rgb="FF780000"/>
                </bottom>
              </border>
            </x14:dxf>
          </x14:cfRule>
          <x14:cfRule type="containsText" priority="2" operator="containsText" id="{11FBB21E-0EC8-40F2-B357-0B0707EF589E}">
            <xm:f>NOT(ISERROR(SEARCH($BD$757,L759)))</xm:f>
            <xm:f>$BD$757</xm:f>
            <x14:dxf>
              <font>
                <color rgb="FF0070C0"/>
              </font>
              <fill>
                <patternFill patternType="mediumGray">
                  <fgColor theme="8" tint="0.79998168889431442"/>
                  <bgColor auto="1"/>
                </patternFill>
              </fill>
              <border>
                <left style="thin">
                  <color rgb="FF002060"/>
                </left>
                <right style="thin">
                  <color rgb="FF002060"/>
                </right>
                <top style="thin">
                  <color rgb="FF002060"/>
                </top>
                <bottom style="thin">
                  <color rgb="FF002060"/>
                </bottom>
              </border>
            </x14:dxf>
          </x14:cfRule>
          <xm:sqref>L759:M759</xm:sqref>
        </x14:conditionalFormatting>
      </x14:conditionalFormattings>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BE358-4B27-4F52-8E86-24BEDEF16097}">
  <dimension ref="A1:DI1187"/>
  <sheetViews>
    <sheetView zoomScaleNormal="100" zoomScaleSheetLayoutView="90" workbookViewId="0">
      <selection sqref="A1:N8"/>
    </sheetView>
  </sheetViews>
  <sheetFormatPr defaultColWidth="8.88671875" defaultRowHeight="13.8"/>
  <cols>
    <col min="1" max="1" width="1.6640625" style="2" customWidth="1"/>
    <col min="2" max="13" width="7.33203125" style="2" customWidth="1"/>
    <col min="14" max="14" width="1.6640625" style="2" customWidth="1"/>
    <col min="15" max="15" width="1.6640625" style="2" hidden="1" customWidth="1"/>
    <col min="16" max="27" width="7.33203125" style="2" hidden="1" customWidth="1"/>
    <col min="28" max="28" width="1.6640625" style="2" hidden="1" customWidth="1"/>
    <col min="29" max="51" width="10.77734375" style="2" customWidth="1"/>
    <col min="52" max="52" width="1.6640625" style="2" customWidth="1"/>
    <col min="53" max="57" width="8.88671875" style="2"/>
    <col min="58" max="72" width="8.88671875" style="2" hidden="1" customWidth="1"/>
    <col min="73" max="75" width="8.88671875" style="2"/>
    <col min="76" max="102" width="8.88671875" style="2" customWidth="1"/>
    <col min="103" max="103" width="8.88671875" style="2"/>
    <col min="104" max="129" width="8.88671875" style="2" customWidth="1"/>
    <col min="130" max="16384" width="8.88671875" style="2"/>
  </cols>
  <sheetData>
    <row r="1" spans="1:51" ht="45" customHeight="1">
      <c r="A1" s="482"/>
      <c r="B1" s="483"/>
      <c r="C1" s="483"/>
      <c r="D1" s="484"/>
      <c r="E1" s="484"/>
      <c r="F1" s="484"/>
      <c r="G1" s="484"/>
      <c r="H1" s="484"/>
      <c r="I1" s="484"/>
      <c r="J1" s="484"/>
      <c r="K1" s="484"/>
      <c r="L1" s="484"/>
      <c r="M1" s="484"/>
      <c r="N1" s="485"/>
      <c r="O1" s="482"/>
      <c r="P1" s="1278"/>
      <c r="Q1" s="1278"/>
      <c r="R1" s="1278"/>
      <c r="S1" s="1278"/>
      <c r="T1" s="1278"/>
      <c r="U1" s="1278"/>
      <c r="V1" s="1278"/>
      <c r="W1" s="486"/>
      <c r="X1" s="487"/>
      <c r="Y1" s="487"/>
      <c r="Z1" s="487"/>
      <c r="AA1" s="487"/>
      <c r="AB1" s="485"/>
      <c r="AC1" s="576"/>
      <c r="AD1" s="576"/>
      <c r="AE1" s="576"/>
      <c r="AF1" s="576"/>
      <c r="AG1" s="576"/>
      <c r="AH1" s="576"/>
      <c r="AI1" s="576"/>
      <c r="AJ1" s="576"/>
      <c r="AK1" s="576"/>
      <c r="AL1" s="576"/>
      <c r="AM1" s="576"/>
      <c r="AN1" s="576"/>
      <c r="AO1" s="576"/>
      <c r="AP1" s="576"/>
      <c r="AQ1" s="576"/>
      <c r="AR1" s="576"/>
      <c r="AS1" s="576"/>
      <c r="AT1" s="576"/>
      <c r="AU1" s="576"/>
      <c r="AV1" s="576"/>
      <c r="AW1" s="576"/>
      <c r="AX1" s="576"/>
      <c r="AY1" s="576"/>
    </row>
    <row r="2" spans="1:51" ht="10.050000000000001" customHeight="1">
      <c r="A2" s="299"/>
      <c r="B2" s="488"/>
      <c r="C2" s="488"/>
      <c r="D2" s="488"/>
      <c r="E2" s="488"/>
      <c r="F2" s="488"/>
      <c r="G2" s="488"/>
      <c r="H2" s="488"/>
      <c r="I2" s="488"/>
      <c r="J2" s="488"/>
      <c r="K2" s="488"/>
      <c r="L2" s="488"/>
      <c r="M2" s="488"/>
      <c r="N2" s="489"/>
      <c r="O2" s="299"/>
      <c r="P2" s="488"/>
      <c r="Q2" s="488"/>
      <c r="R2" s="488"/>
      <c r="S2" s="488"/>
      <c r="T2" s="488"/>
      <c r="U2" s="488"/>
      <c r="V2" s="488"/>
      <c r="W2" s="488"/>
      <c r="X2" s="488"/>
      <c r="Y2" s="488"/>
      <c r="Z2" s="488"/>
      <c r="AA2" s="488"/>
      <c r="AB2" s="489"/>
      <c r="AC2" s="1"/>
      <c r="AD2" s="1"/>
      <c r="AE2" s="1"/>
      <c r="AF2" s="1"/>
      <c r="AG2" s="1"/>
      <c r="AH2" s="1"/>
      <c r="AI2" s="1"/>
      <c r="AJ2" s="1"/>
      <c r="AK2" s="1"/>
      <c r="AL2" s="1"/>
      <c r="AM2" s="1"/>
      <c r="AN2" s="1"/>
      <c r="AO2" s="1"/>
      <c r="AP2" s="1"/>
      <c r="AQ2" s="1"/>
      <c r="AR2" s="1"/>
      <c r="AS2" s="1"/>
      <c r="AT2" s="1"/>
      <c r="AU2" s="1"/>
      <c r="AV2" s="1"/>
      <c r="AW2" s="1"/>
      <c r="AX2" s="1"/>
      <c r="AY2" s="1"/>
    </row>
    <row r="3" spans="1:51" ht="30" customHeight="1">
      <c r="A3" s="299"/>
      <c r="B3" s="488"/>
      <c r="C3" s="488"/>
      <c r="D3" s="488"/>
      <c r="E3" s="488"/>
      <c r="F3" s="488"/>
      <c r="G3" s="488"/>
      <c r="H3" s="488"/>
      <c r="I3" s="488"/>
      <c r="J3" s="488"/>
      <c r="K3" s="488"/>
      <c r="L3" s="488"/>
      <c r="M3" s="488"/>
      <c r="N3" s="489"/>
      <c r="O3" s="490"/>
      <c r="P3" s="1279"/>
      <c r="Q3" s="1279"/>
      <c r="R3" s="1279"/>
      <c r="S3" s="1279"/>
      <c r="T3" s="1279"/>
      <c r="U3" s="1279"/>
      <c r="V3" s="1279"/>
      <c r="W3" s="492"/>
      <c r="X3" s="493"/>
      <c r="Y3" s="493"/>
      <c r="Z3" s="493"/>
      <c r="AA3" s="493"/>
      <c r="AB3" s="494"/>
      <c r="AC3" s="576"/>
      <c r="AD3" s="576"/>
      <c r="AE3" s="576"/>
      <c r="AF3" s="576"/>
      <c r="AG3" s="576"/>
      <c r="AH3" s="576"/>
      <c r="AI3" s="576"/>
      <c r="AJ3" s="576"/>
      <c r="AK3" s="576"/>
      <c r="AL3" s="576"/>
      <c r="AM3" s="576"/>
      <c r="AN3" s="576"/>
      <c r="AO3" s="576"/>
      <c r="AP3" s="576"/>
      <c r="AQ3" s="576"/>
      <c r="AR3" s="576"/>
      <c r="AS3" s="576"/>
      <c r="AT3" s="576"/>
      <c r="AU3" s="576"/>
      <c r="AV3" s="576"/>
      <c r="AW3" s="576"/>
      <c r="AX3" s="576"/>
      <c r="AY3" s="576"/>
    </row>
    <row r="4" spans="1:51" ht="30" customHeight="1">
      <c r="A4" s="299"/>
      <c r="B4" s="488"/>
      <c r="C4" s="488"/>
      <c r="D4" s="488"/>
      <c r="E4" s="488"/>
      <c r="F4" s="488"/>
      <c r="G4" s="488"/>
      <c r="H4" s="488"/>
      <c r="I4" s="488"/>
      <c r="J4" s="488"/>
      <c r="K4" s="488"/>
      <c r="L4" s="488"/>
      <c r="M4" s="488"/>
      <c r="N4" s="489"/>
      <c r="O4" s="299"/>
      <c r="P4" s="488"/>
      <c r="Q4" s="488"/>
      <c r="R4" s="488"/>
      <c r="S4" s="488"/>
      <c r="T4" s="488"/>
      <c r="U4" s="488"/>
      <c r="V4" s="488"/>
      <c r="W4" s="488"/>
      <c r="X4" s="488"/>
      <c r="Y4" s="488"/>
      <c r="Z4" s="488"/>
      <c r="AA4" s="488"/>
      <c r="AB4" s="489"/>
      <c r="AC4" s="1"/>
      <c r="AD4" s="1"/>
      <c r="AE4" s="1"/>
      <c r="AF4" s="1"/>
      <c r="AG4" s="1"/>
      <c r="AH4" s="1"/>
      <c r="AI4" s="1"/>
      <c r="AJ4" s="1"/>
      <c r="AK4" s="1"/>
      <c r="AL4" s="1"/>
      <c r="AM4" s="1"/>
      <c r="AN4" s="1"/>
      <c r="AO4" s="1"/>
      <c r="AP4" s="1"/>
      <c r="AQ4" s="1"/>
      <c r="AR4" s="1"/>
      <c r="AS4" s="1"/>
      <c r="AT4" s="1"/>
      <c r="AU4" s="1"/>
      <c r="AV4" s="1"/>
      <c r="AW4" s="1"/>
      <c r="AX4" s="1"/>
      <c r="AY4" s="1"/>
    </row>
    <row r="5" spans="1:51" ht="30" customHeight="1">
      <c r="A5" s="299"/>
      <c r="B5" s="488"/>
      <c r="C5" s="488"/>
      <c r="D5" s="488"/>
      <c r="E5" s="488"/>
      <c r="F5" s="488"/>
      <c r="G5" s="488"/>
      <c r="H5" s="488"/>
      <c r="I5" s="488"/>
      <c r="J5" s="488"/>
      <c r="K5" s="488"/>
      <c r="L5" s="488"/>
      <c r="M5" s="488"/>
      <c r="N5" s="489"/>
      <c r="O5" s="490"/>
      <c r="P5" s="1279"/>
      <c r="Q5" s="1279"/>
      <c r="R5" s="1279"/>
      <c r="S5" s="1279"/>
      <c r="T5" s="1279"/>
      <c r="U5" s="1279"/>
      <c r="V5" s="1279"/>
      <c r="W5" s="492"/>
      <c r="X5" s="493"/>
      <c r="Y5" s="493"/>
      <c r="Z5" s="493"/>
      <c r="AA5" s="493"/>
      <c r="AB5" s="494"/>
      <c r="AC5" s="576"/>
      <c r="AD5" s="576"/>
      <c r="AE5" s="576"/>
      <c r="AF5" s="576"/>
      <c r="AG5" s="576"/>
      <c r="AH5" s="576"/>
      <c r="AI5" s="576"/>
      <c r="AJ5" s="576"/>
      <c r="AK5" s="576"/>
      <c r="AL5" s="576"/>
      <c r="AM5" s="576"/>
      <c r="AN5" s="576"/>
      <c r="AO5" s="576"/>
      <c r="AP5" s="576"/>
      <c r="AQ5" s="576"/>
      <c r="AR5" s="576"/>
      <c r="AS5" s="576"/>
      <c r="AT5" s="576"/>
      <c r="AU5" s="576"/>
      <c r="AV5" s="576"/>
      <c r="AW5" s="576"/>
      <c r="AX5" s="576"/>
      <c r="AY5" s="576"/>
    </row>
    <row r="6" spans="1:51" ht="30" customHeight="1">
      <c r="A6" s="299"/>
      <c r="B6" s="488"/>
      <c r="C6" s="488"/>
      <c r="D6" s="488"/>
      <c r="E6" s="488"/>
      <c r="F6" s="488"/>
      <c r="G6" s="488"/>
      <c r="H6" s="488"/>
      <c r="I6" s="488"/>
      <c r="J6" s="488"/>
      <c r="K6" s="488"/>
      <c r="L6" s="488"/>
      <c r="M6" s="488"/>
      <c r="N6" s="489"/>
      <c r="O6" s="299"/>
      <c r="P6" s="488"/>
      <c r="Q6" s="488"/>
      <c r="R6" s="488"/>
      <c r="S6" s="488"/>
      <c r="T6" s="488"/>
      <c r="U6" s="488"/>
      <c r="V6" s="488"/>
      <c r="W6" s="488"/>
      <c r="X6" s="488"/>
      <c r="Y6" s="488"/>
      <c r="Z6" s="488"/>
      <c r="AA6" s="488"/>
      <c r="AB6" s="489"/>
      <c r="AC6" s="1"/>
      <c r="AD6" s="1"/>
      <c r="AE6" s="1"/>
      <c r="AF6" s="1"/>
      <c r="AG6" s="1"/>
      <c r="AH6" s="1"/>
      <c r="AI6" s="1"/>
      <c r="AJ6" s="1"/>
      <c r="AK6" s="1"/>
      <c r="AL6" s="1"/>
      <c r="AM6" s="1"/>
      <c r="AN6" s="1"/>
      <c r="AO6" s="1"/>
      <c r="AP6" s="1"/>
      <c r="AQ6" s="1"/>
      <c r="AR6" s="1"/>
      <c r="AS6" s="1"/>
      <c r="AT6" s="1"/>
      <c r="AU6" s="1"/>
      <c r="AV6" s="1"/>
      <c r="AW6" s="1"/>
      <c r="AX6" s="1"/>
      <c r="AY6" s="1"/>
    </row>
    <row r="7" spans="1:51" ht="30" customHeight="1">
      <c r="A7" s="299"/>
      <c r="B7" s="488"/>
      <c r="C7" s="488"/>
      <c r="D7" s="488"/>
      <c r="E7" s="488"/>
      <c r="F7" s="488"/>
      <c r="G7" s="488"/>
      <c r="H7" s="488"/>
      <c r="I7" s="488"/>
      <c r="J7" s="488"/>
      <c r="K7" s="488"/>
      <c r="L7" s="488"/>
      <c r="M7" s="488"/>
      <c r="N7" s="489"/>
      <c r="O7" s="490"/>
      <c r="P7" s="1279"/>
      <c r="Q7" s="1279"/>
      <c r="R7" s="1279"/>
      <c r="S7" s="1279"/>
      <c r="T7" s="1279"/>
      <c r="U7" s="1279"/>
      <c r="V7" s="1279"/>
      <c r="W7" s="492"/>
      <c r="X7" s="493"/>
      <c r="Y7" s="493"/>
      <c r="Z7" s="493"/>
      <c r="AA7" s="493"/>
      <c r="AB7" s="494"/>
      <c r="AC7" s="576"/>
      <c r="AD7" s="576"/>
      <c r="AE7" s="576"/>
      <c r="AF7" s="576"/>
      <c r="AG7" s="576"/>
      <c r="AH7" s="576"/>
      <c r="AI7" s="576"/>
      <c r="AJ7" s="576"/>
      <c r="AK7" s="576"/>
      <c r="AL7" s="576"/>
      <c r="AM7" s="576"/>
      <c r="AN7" s="576"/>
      <c r="AO7" s="576"/>
      <c r="AP7" s="576"/>
      <c r="AQ7" s="576"/>
      <c r="AR7" s="576"/>
      <c r="AS7" s="576"/>
      <c r="AT7" s="576"/>
      <c r="AU7" s="576"/>
      <c r="AV7" s="576"/>
      <c r="AW7" s="576"/>
      <c r="AX7" s="576"/>
      <c r="AY7" s="576"/>
    </row>
    <row r="8" spans="1:51" ht="30" customHeight="1">
      <c r="A8" s="299"/>
      <c r="B8" s="488"/>
      <c r="C8" s="488"/>
      <c r="D8" s="488"/>
      <c r="E8" s="488"/>
      <c r="F8" s="488"/>
      <c r="G8" s="488"/>
      <c r="H8" s="488"/>
      <c r="I8" s="488"/>
      <c r="J8" s="488"/>
      <c r="K8" s="488"/>
      <c r="L8" s="488"/>
      <c r="M8" s="488"/>
      <c r="N8" s="489"/>
      <c r="O8" s="490"/>
      <c r="P8" s="491"/>
      <c r="Q8" s="491"/>
      <c r="R8" s="491"/>
      <c r="S8" s="491"/>
      <c r="T8" s="491"/>
      <c r="U8" s="491"/>
      <c r="V8" s="491"/>
      <c r="W8" s="492"/>
      <c r="X8" s="493"/>
      <c r="Y8" s="493"/>
      <c r="Z8" s="493"/>
      <c r="AA8" s="493"/>
      <c r="AB8" s="494"/>
      <c r="AC8" s="576"/>
      <c r="AD8" s="576"/>
      <c r="AE8" s="576"/>
      <c r="AF8" s="576"/>
      <c r="AG8" s="576"/>
      <c r="AH8" s="576"/>
      <c r="AI8" s="576"/>
      <c r="AJ8" s="576"/>
      <c r="AK8" s="576"/>
      <c r="AL8" s="576"/>
      <c r="AM8" s="576"/>
      <c r="AN8" s="576"/>
      <c r="AO8" s="576"/>
      <c r="AP8" s="576"/>
      <c r="AQ8" s="576"/>
      <c r="AR8" s="576"/>
      <c r="AS8" s="576"/>
      <c r="AT8" s="576"/>
      <c r="AU8" s="576"/>
      <c r="AV8" s="576"/>
      <c r="AW8" s="576"/>
      <c r="AX8" s="576"/>
      <c r="AY8" s="576"/>
    </row>
    <row r="9" spans="1:51" ht="30" customHeight="1">
      <c r="A9" s="299"/>
      <c r="B9" s="488"/>
      <c r="C9" s="488"/>
      <c r="D9" s="488"/>
      <c r="E9" s="488"/>
      <c r="F9" s="488"/>
      <c r="G9" s="488"/>
      <c r="H9" s="488"/>
      <c r="I9" s="488"/>
      <c r="J9" s="488"/>
      <c r="K9" s="488"/>
      <c r="L9" s="488"/>
      <c r="M9" s="488"/>
      <c r="N9" s="489"/>
      <c r="O9" s="299"/>
      <c r="P9" s="488"/>
      <c r="Q9" s="488"/>
      <c r="R9" s="488"/>
      <c r="S9" s="488"/>
      <c r="T9" s="488"/>
      <c r="U9" s="488"/>
      <c r="V9" s="488"/>
      <c r="W9" s="488"/>
      <c r="X9" s="488"/>
      <c r="Y9" s="488"/>
      <c r="Z9" s="488"/>
      <c r="AA9" s="488"/>
      <c r="AB9" s="489"/>
      <c r="AC9" s="1"/>
      <c r="AD9" s="1"/>
      <c r="AE9" s="1"/>
      <c r="AF9" s="1"/>
      <c r="AG9" s="1"/>
      <c r="AH9" s="1"/>
      <c r="AI9" s="1"/>
      <c r="AJ9" s="1"/>
      <c r="AK9" s="1"/>
      <c r="AL9" s="1"/>
      <c r="AM9" s="1"/>
      <c r="AN9" s="1"/>
      <c r="AO9" s="1"/>
      <c r="AP9" s="1"/>
      <c r="AQ9" s="1"/>
      <c r="AR9" s="1"/>
      <c r="AS9" s="1"/>
      <c r="AT9" s="1"/>
      <c r="AU9" s="1"/>
      <c r="AV9" s="1"/>
      <c r="AW9" s="1"/>
      <c r="AX9" s="1"/>
      <c r="AY9" s="1"/>
    </row>
    <row r="10" spans="1:51" ht="30" customHeight="1">
      <c r="A10" s="299"/>
      <c r="B10" s="488"/>
      <c r="C10" s="488"/>
      <c r="D10" s="488"/>
      <c r="E10" s="488"/>
      <c r="F10" s="488"/>
      <c r="G10" s="488"/>
      <c r="H10" s="488"/>
      <c r="I10" s="488"/>
      <c r="J10" s="488"/>
      <c r="K10" s="488"/>
      <c r="L10" s="488"/>
      <c r="M10" s="488"/>
      <c r="N10" s="489"/>
      <c r="O10" s="490"/>
      <c r="P10" s="1279"/>
      <c r="Q10" s="1279"/>
      <c r="R10" s="1279"/>
      <c r="S10" s="1279"/>
      <c r="T10" s="1279"/>
      <c r="U10" s="1279"/>
      <c r="V10" s="1279"/>
      <c r="W10" s="492"/>
      <c r="X10" s="493"/>
      <c r="Y10" s="493"/>
      <c r="Z10" s="493"/>
      <c r="AA10" s="493"/>
      <c r="AB10" s="494"/>
      <c r="AC10" s="576"/>
      <c r="AD10" s="576"/>
      <c r="AE10" s="576"/>
      <c r="AF10" s="576"/>
      <c r="AG10" s="576"/>
      <c r="AH10" s="576"/>
      <c r="AI10" s="576"/>
      <c r="AJ10" s="576"/>
      <c r="AK10" s="576"/>
      <c r="AL10" s="576"/>
      <c r="AM10" s="576"/>
      <c r="AN10" s="576"/>
      <c r="AO10" s="576"/>
      <c r="AP10" s="576"/>
      <c r="AQ10" s="576"/>
      <c r="AR10" s="576"/>
      <c r="AS10" s="576"/>
      <c r="AT10" s="576"/>
      <c r="AU10" s="576"/>
      <c r="AV10" s="576"/>
      <c r="AW10" s="576"/>
      <c r="AX10" s="576"/>
      <c r="AY10" s="576"/>
    </row>
    <row r="11" spans="1:51" ht="30" customHeight="1">
      <c r="A11" s="299"/>
      <c r="B11" s="488"/>
      <c r="C11" s="488"/>
      <c r="D11" s="488"/>
      <c r="E11" s="488"/>
      <c r="F11" s="488"/>
      <c r="G11" s="488"/>
      <c r="H11" s="488"/>
      <c r="I11" s="488"/>
      <c r="J11" s="488"/>
      <c r="K11" s="488"/>
      <c r="L11" s="488"/>
      <c r="M11" s="488"/>
      <c r="N11" s="489"/>
      <c r="O11" s="299"/>
      <c r="P11" s="488"/>
      <c r="Q11" s="488"/>
      <c r="R11" s="488"/>
      <c r="S11" s="488"/>
      <c r="T11" s="488"/>
      <c r="U11" s="488"/>
      <c r="V11" s="488"/>
      <c r="W11" s="488"/>
      <c r="X11" s="488"/>
      <c r="Y11" s="488"/>
      <c r="Z11" s="488"/>
      <c r="AA11" s="488"/>
      <c r="AB11" s="489"/>
      <c r="AC11" s="1"/>
      <c r="AD11" s="1"/>
      <c r="AE11" s="1"/>
      <c r="AF11" s="1"/>
      <c r="AG11" s="1"/>
      <c r="AH11" s="1"/>
      <c r="AI11" s="1"/>
      <c r="AJ11" s="1"/>
      <c r="AK11" s="1"/>
      <c r="AL11" s="1"/>
      <c r="AM11" s="1"/>
      <c r="AN11" s="1"/>
      <c r="AO11" s="1"/>
      <c r="AP11" s="1"/>
      <c r="AQ11" s="1"/>
      <c r="AR11" s="1"/>
      <c r="AS11" s="1"/>
      <c r="AT11" s="1"/>
      <c r="AU11" s="1"/>
      <c r="AV11" s="1"/>
      <c r="AW11" s="1"/>
      <c r="AX11" s="1"/>
      <c r="AY11" s="1"/>
    </row>
    <row r="12" spans="1:51" ht="30" customHeight="1">
      <c r="A12" s="299"/>
      <c r="B12" s="488"/>
      <c r="C12" s="488"/>
      <c r="D12" s="488"/>
      <c r="E12" s="488"/>
      <c r="F12" s="488"/>
      <c r="G12" s="488"/>
      <c r="H12" s="488"/>
      <c r="I12" s="488"/>
      <c r="J12" s="488"/>
      <c r="K12" s="488"/>
      <c r="L12" s="488"/>
      <c r="M12" s="488"/>
      <c r="N12" s="489"/>
      <c r="O12" s="490"/>
      <c r="P12" s="1279"/>
      <c r="Q12" s="1279"/>
      <c r="R12" s="1279"/>
      <c r="S12" s="1279"/>
      <c r="T12" s="1279"/>
      <c r="U12" s="1279"/>
      <c r="V12" s="1279"/>
      <c r="W12" s="492"/>
      <c r="X12" s="493"/>
      <c r="Y12" s="493"/>
      <c r="Z12" s="493"/>
      <c r="AA12" s="493"/>
      <c r="AB12" s="494"/>
      <c r="AC12" s="576"/>
      <c r="AD12" s="576"/>
      <c r="AE12" s="576"/>
      <c r="AF12" s="576"/>
      <c r="AG12" s="576"/>
      <c r="AH12" s="576"/>
      <c r="AI12" s="576"/>
      <c r="AJ12" s="576"/>
      <c r="AK12" s="576"/>
      <c r="AL12" s="576"/>
      <c r="AM12" s="576"/>
      <c r="AN12" s="576"/>
      <c r="AO12" s="576"/>
      <c r="AP12" s="576"/>
      <c r="AQ12" s="576"/>
      <c r="AR12" s="576"/>
      <c r="AS12" s="576"/>
      <c r="AT12" s="576"/>
      <c r="AU12" s="576"/>
      <c r="AV12" s="576"/>
      <c r="AW12" s="576"/>
      <c r="AX12" s="576"/>
      <c r="AY12" s="576"/>
    </row>
    <row r="13" spans="1:51" ht="30" customHeight="1">
      <c r="A13" s="299"/>
      <c r="B13" s="488"/>
      <c r="C13" s="488"/>
      <c r="D13" s="488"/>
      <c r="E13" s="488"/>
      <c r="F13" s="488"/>
      <c r="G13" s="488"/>
      <c r="H13" s="488"/>
      <c r="I13" s="488"/>
      <c r="J13" s="488"/>
      <c r="K13" s="488"/>
      <c r="L13" s="488"/>
      <c r="M13" s="488"/>
      <c r="N13" s="489"/>
      <c r="O13" s="299"/>
      <c r="P13" s="488"/>
      <c r="Q13" s="488"/>
      <c r="R13" s="488"/>
      <c r="S13" s="488"/>
      <c r="T13" s="488"/>
      <c r="U13" s="488"/>
      <c r="V13" s="488"/>
      <c r="W13" s="488"/>
      <c r="X13" s="488"/>
      <c r="Y13" s="488"/>
      <c r="Z13" s="488"/>
      <c r="AA13" s="488"/>
      <c r="AB13" s="489"/>
      <c r="AC13" s="1"/>
      <c r="AD13" s="1"/>
      <c r="AE13" s="1"/>
      <c r="AF13" s="1"/>
      <c r="AG13" s="1"/>
      <c r="AH13" s="1"/>
      <c r="AI13" s="1"/>
      <c r="AJ13" s="1"/>
      <c r="AK13" s="1"/>
      <c r="AL13" s="1"/>
      <c r="AM13" s="1"/>
      <c r="AN13" s="1"/>
      <c r="AO13" s="1"/>
      <c r="AP13" s="1"/>
      <c r="AQ13" s="1"/>
      <c r="AR13" s="1"/>
      <c r="AS13" s="1"/>
      <c r="AT13" s="1"/>
      <c r="AU13" s="1"/>
      <c r="AV13" s="1"/>
      <c r="AW13" s="1"/>
      <c r="AX13" s="1"/>
      <c r="AY13" s="1"/>
    </row>
    <row r="14" spans="1:51" ht="30" customHeight="1">
      <c r="A14" s="299"/>
      <c r="B14" s="488"/>
      <c r="C14" s="488"/>
      <c r="D14" s="488"/>
      <c r="E14" s="488"/>
      <c r="F14" s="488"/>
      <c r="G14" s="488"/>
      <c r="H14" s="488"/>
      <c r="I14" s="488"/>
      <c r="J14" s="488"/>
      <c r="K14" s="488"/>
      <c r="L14" s="488"/>
      <c r="M14" s="488"/>
      <c r="N14" s="489"/>
      <c r="O14" s="299"/>
      <c r="P14" s="488"/>
      <c r="Q14" s="488"/>
      <c r="R14" s="488"/>
      <c r="S14" s="488"/>
      <c r="T14" s="488"/>
      <c r="U14" s="488"/>
      <c r="V14" s="488"/>
      <c r="W14" s="488"/>
      <c r="X14" s="488"/>
      <c r="Y14" s="488"/>
      <c r="Z14" s="488"/>
      <c r="AA14" s="488"/>
      <c r="AB14" s="489"/>
      <c r="AC14" s="1"/>
      <c r="AD14" s="1"/>
      <c r="AE14" s="1"/>
      <c r="AF14" s="1"/>
      <c r="AG14" s="1"/>
      <c r="AH14" s="1"/>
      <c r="AI14" s="1"/>
      <c r="AJ14" s="1"/>
      <c r="AK14" s="1"/>
      <c r="AL14" s="1"/>
      <c r="AM14" s="1"/>
      <c r="AN14" s="1"/>
      <c r="AO14" s="1"/>
      <c r="AP14" s="1"/>
      <c r="AQ14" s="1"/>
      <c r="AR14" s="1"/>
      <c r="AS14" s="1"/>
      <c r="AT14" s="1"/>
      <c r="AU14" s="1"/>
      <c r="AV14" s="1"/>
      <c r="AW14" s="1"/>
      <c r="AX14" s="1"/>
      <c r="AY14" s="1"/>
    </row>
    <row r="15" spans="1:51" ht="30" customHeight="1">
      <c r="A15" s="299"/>
      <c r="B15" s="488"/>
      <c r="C15" s="488"/>
      <c r="D15" s="488"/>
      <c r="E15" s="488"/>
      <c r="F15" s="488"/>
      <c r="G15" s="488"/>
      <c r="H15" s="488"/>
      <c r="I15" s="488"/>
      <c r="J15" s="488"/>
      <c r="K15" s="488"/>
      <c r="L15" s="488"/>
      <c r="M15" s="488"/>
      <c r="N15" s="489"/>
      <c r="O15" s="299"/>
      <c r="P15" s="488"/>
      <c r="Q15" s="488"/>
      <c r="R15" s="488"/>
      <c r="S15" s="488"/>
      <c r="T15" s="488"/>
      <c r="U15" s="488"/>
      <c r="V15" s="488"/>
      <c r="W15" s="488"/>
      <c r="X15" s="488"/>
      <c r="Y15" s="488"/>
      <c r="Z15" s="488"/>
      <c r="AA15" s="488"/>
      <c r="AB15" s="489"/>
      <c r="AC15" s="1"/>
      <c r="AD15" s="1"/>
      <c r="AE15" s="1"/>
      <c r="AF15" s="1"/>
      <c r="AG15" s="1"/>
      <c r="AH15" s="1"/>
      <c r="AI15" s="1"/>
      <c r="AJ15" s="1"/>
      <c r="AK15" s="1"/>
      <c r="AL15" s="1"/>
      <c r="AM15" s="1"/>
      <c r="AN15" s="1"/>
      <c r="AO15" s="1"/>
      <c r="AP15" s="1"/>
      <c r="AQ15" s="1"/>
      <c r="AR15" s="1"/>
      <c r="AS15" s="1"/>
      <c r="AT15" s="1"/>
      <c r="AU15" s="1"/>
      <c r="AV15" s="1"/>
      <c r="AW15" s="1"/>
      <c r="AX15" s="1"/>
      <c r="AY15" s="1"/>
    </row>
    <row r="16" spans="1:51" ht="30" customHeight="1">
      <c r="A16" s="299"/>
      <c r="B16" s="488"/>
      <c r="C16" s="488"/>
      <c r="D16" s="488"/>
      <c r="E16" s="488"/>
      <c r="F16" s="488"/>
      <c r="G16" s="488"/>
      <c r="H16" s="488"/>
      <c r="I16" s="488"/>
      <c r="J16" s="488"/>
      <c r="K16" s="488"/>
      <c r="L16" s="488"/>
      <c r="M16" s="488"/>
      <c r="N16" s="489"/>
      <c r="O16" s="299"/>
      <c r="P16" s="488"/>
      <c r="Q16" s="488"/>
      <c r="R16" s="488"/>
      <c r="S16" s="488"/>
      <c r="T16" s="488"/>
      <c r="U16" s="488"/>
      <c r="V16" s="488"/>
      <c r="W16" s="488"/>
      <c r="X16" s="488"/>
      <c r="Y16" s="488"/>
      <c r="Z16" s="488"/>
      <c r="AA16" s="488"/>
      <c r="AB16" s="489"/>
      <c r="AC16" s="1"/>
      <c r="AD16" s="1"/>
      <c r="AE16" s="1"/>
      <c r="AF16" s="1"/>
      <c r="AG16" s="1"/>
      <c r="AH16" s="1"/>
      <c r="AI16" s="1"/>
      <c r="AJ16" s="1"/>
      <c r="AK16" s="1"/>
      <c r="AL16" s="1"/>
      <c r="AM16" s="1"/>
      <c r="AN16" s="1"/>
      <c r="AO16" s="1"/>
      <c r="AP16" s="1"/>
      <c r="AQ16" s="1"/>
      <c r="AR16" s="1"/>
      <c r="AS16" s="1"/>
      <c r="AT16" s="1"/>
      <c r="AU16" s="1"/>
      <c r="AV16" s="1"/>
      <c r="AW16" s="1"/>
      <c r="AX16" s="1"/>
      <c r="AY16" s="1"/>
    </row>
    <row r="17" spans="1:51" ht="30" customHeight="1">
      <c r="A17" s="299"/>
      <c r="B17" s="488"/>
      <c r="C17" s="488"/>
      <c r="D17" s="488"/>
      <c r="E17" s="488"/>
      <c r="F17" s="488"/>
      <c r="G17" s="488"/>
      <c r="H17" s="488"/>
      <c r="I17" s="488"/>
      <c r="J17" s="488"/>
      <c r="K17" s="488"/>
      <c r="L17" s="488"/>
      <c r="M17" s="488"/>
      <c r="N17" s="489"/>
      <c r="O17" s="299"/>
      <c r="P17" s="488"/>
      <c r="Q17" s="488"/>
      <c r="R17" s="488"/>
      <c r="S17" s="488"/>
      <c r="T17" s="488"/>
      <c r="U17" s="488"/>
      <c r="V17" s="488"/>
      <c r="W17" s="488"/>
      <c r="X17" s="488"/>
      <c r="Y17" s="488"/>
      <c r="Z17" s="488"/>
      <c r="AA17" s="488"/>
      <c r="AB17" s="489"/>
      <c r="AC17" s="1"/>
      <c r="AD17" s="1"/>
      <c r="AE17" s="1"/>
      <c r="AF17" s="1"/>
      <c r="AG17" s="1"/>
      <c r="AH17" s="1"/>
      <c r="AI17" s="1"/>
      <c r="AJ17" s="1"/>
      <c r="AK17" s="1"/>
      <c r="AL17" s="1"/>
      <c r="AM17" s="1"/>
      <c r="AN17" s="1"/>
      <c r="AO17" s="1"/>
      <c r="AP17" s="1"/>
      <c r="AQ17" s="1"/>
      <c r="AR17" s="1"/>
      <c r="AS17" s="1"/>
      <c r="AT17" s="1"/>
      <c r="AU17" s="1"/>
      <c r="AV17" s="1"/>
      <c r="AW17" s="1"/>
      <c r="AX17" s="1"/>
      <c r="AY17" s="1"/>
    </row>
    <row r="18" spans="1:51" ht="30" customHeight="1">
      <c r="A18" s="299"/>
      <c r="B18" s="488"/>
      <c r="C18" s="488"/>
      <c r="D18" s="488"/>
      <c r="E18" s="488"/>
      <c r="F18" s="488"/>
      <c r="G18" s="488"/>
      <c r="H18" s="488"/>
      <c r="I18" s="488"/>
      <c r="J18" s="488"/>
      <c r="K18" s="488"/>
      <c r="L18" s="488"/>
      <c r="M18" s="488"/>
      <c r="N18" s="489"/>
      <c r="O18" s="299"/>
      <c r="P18" s="488"/>
      <c r="Q18" s="488"/>
      <c r="R18" s="488"/>
      <c r="S18" s="488"/>
      <c r="T18" s="488"/>
      <c r="U18" s="488"/>
      <c r="V18" s="488"/>
      <c r="W18" s="488"/>
      <c r="X18" s="488"/>
      <c r="Y18" s="488"/>
      <c r="Z18" s="488"/>
      <c r="AA18" s="488"/>
      <c r="AB18" s="489"/>
      <c r="AC18" s="1"/>
      <c r="AD18" s="1"/>
      <c r="AE18" s="1"/>
      <c r="AF18" s="1"/>
      <c r="AG18" s="1"/>
      <c r="AH18" s="1"/>
      <c r="AI18" s="1"/>
      <c r="AJ18" s="1"/>
      <c r="AK18" s="1"/>
      <c r="AL18" s="1"/>
      <c r="AM18" s="1"/>
      <c r="AN18" s="1"/>
      <c r="AO18" s="1"/>
      <c r="AP18" s="1"/>
      <c r="AQ18" s="1"/>
      <c r="AR18" s="1"/>
      <c r="AS18" s="1"/>
      <c r="AT18" s="1"/>
      <c r="AU18" s="1"/>
      <c r="AV18" s="1"/>
      <c r="AW18" s="1"/>
      <c r="AX18" s="1"/>
      <c r="AY18" s="1"/>
    </row>
    <row r="19" spans="1:51" ht="30" customHeight="1">
      <c r="A19" s="299"/>
      <c r="B19" s="488"/>
      <c r="C19" s="488"/>
      <c r="D19" s="488"/>
      <c r="E19" s="488"/>
      <c r="F19" s="488"/>
      <c r="G19" s="488"/>
      <c r="H19" s="488"/>
      <c r="I19" s="488"/>
      <c r="J19" s="488"/>
      <c r="K19" s="488"/>
      <c r="L19" s="488"/>
      <c r="M19" s="488"/>
      <c r="N19" s="489"/>
      <c r="O19" s="299"/>
      <c r="P19" s="488"/>
      <c r="Q19" s="488"/>
      <c r="R19" s="488"/>
      <c r="S19" s="488"/>
      <c r="T19" s="488"/>
      <c r="U19" s="488"/>
      <c r="V19" s="488"/>
      <c r="W19" s="488"/>
      <c r="X19" s="488"/>
      <c r="Y19" s="488"/>
      <c r="Z19" s="488"/>
      <c r="AA19" s="488"/>
      <c r="AB19" s="489"/>
      <c r="AC19" s="1"/>
      <c r="AD19" s="1"/>
      <c r="AE19" s="1"/>
      <c r="AF19" s="1"/>
      <c r="AG19" s="1"/>
      <c r="AH19" s="1"/>
      <c r="AI19" s="1"/>
      <c r="AJ19" s="1"/>
      <c r="AK19" s="1"/>
      <c r="AL19" s="1"/>
      <c r="AM19" s="1"/>
      <c r="AN19" s="1"/>
      <c r="AO19" s="1"/>
      <c r="AP19" s="1"/>
      <c r="AQ19" s="1"/>
      <c r="AR19" s="1"/>
      <c r="AS19" s="1"/>
      <c r="AT19" s="1"/>
      <c r="AU19" s="1"/>
      <c r="AV19" s="1"/>
      <c r="AW19" s="1"/>
      <c r="AX19" s="1"/>
      <c r="AY19" s="1"/>
    </row>
    <row r="20" spans="1:51" ht="40.049999999999997" customHeight="1">
      <c r="A20" s="299"/>
      <c r="B20" s="1287" t="s">
        <v>1787</v>
      </c>
      <c r="C20" s="1287"/>
      <c r="D20" s="1287"/>
      <c r="E20" s="1287"/>
      <c r="F20" s="1287"/>
      <c r="G20" s="1287"/>
      <c r="H20" s="1287"/>
      <c r="I20" s="1287"/>
      <c r="J20" s="1287"/>
      <c r="K20" s="1287"/>
      <c r="L20" s="1287"/>
      <c r="M20" s="1287"/>
      <c r="N20" s="489"/>
      <c r="O20" s="299"/>
      <c r="P20" s="488"/>
      <c r="Q20" s="488"/>
      <c r="R20" s="488"/>
      <c r="S20" s="488"/>
      <c r="T20" s="488"/>
      <c r="U20" s="488"/>
      <c r="V20" s="488"/>
      <c r="W20" s="488"/>
      <c r="X20" s="488"/>
      <c r="Y20" s="488"/>
      <c r="Z20" s="488"/>
      <c r="AA20" s="488"/>
      <c r="AB20" s="489"/>
      <c r="AC20" s="1"/>
      <c r="AD20" s="1"/>
      <c r="AE20" s="1"/>
      <c r="AF20" s="1"/>
      <c r="AG20" s="1"/>
      <c r="AH20" s="1"/>
      <c r="AI20" s="1"/>
      <c r="AJ20" s="1"/>
      <c r="AK20" s="1"/>
      <c r="AL20" s="1"/>
      <c r="AM20" s="1"/>
      <c r="AN20" s="1"/>
      <c r="AO20" s="1"/>
      <c r="AP20" s="1"/>
      <c r="AQ20" s="1"/>
      <c r="AR20" s="1"/>
      <c r="AS20" s="1"/>
      <c r="AT20" s="1"/>
      <c r="AU20" s="1"/>
      <c r="AV20" s="1"/>
      <c r="AW20" s="1"/>
      <c r="AX20" s="1"/>
      <c r="AY20" s="1"/>
    </row>
    <row r="21" spans="1:51" ht="30" customHeight="1">
      <c r="A21" s="299"/>
      <c r="B21" s="1276" t="s">
        <v>1786</v>
      </c>
      <c r="C21" s="1276"/>
      <c r="D21" s="1276"/>
      <c r="E21" s="1276"/>
      <c r="F21" s="1276"/>
      <c r="G21" s="1276"/>
      <c r="H21" s="1276"/>
      <c r="I21" s="1276"/>
      <c r="J21" s="1276"/>
      <c r="K21" s="1276"/>
      <c r="L21" s="1276"/>
      <c r="M21" s="1276"/>
      <c r="N21" s="489"/>
      <c r="O21" s="299"/>
      <c r="P21" s="488"/>
      <c r="Q21" s="488"/>
      <c r="R21" s="488"/>
      <c r="S21" s="488"/>
      <c r="T21" s="488"/>
      <c r="U21" s="488"/>
      <c r="V21" s="488"/>
      <c r="W21" s="488"/>
      <c r="X21" s="488"/>
      <c r="Y21" s="488"/>
      <c r="Z21" s="488"/>
      <c r="AA21" s="488"/>
      <c r="AB21" s="489"/>
      <c r="AC21" s="1"/>
      <c r="AD21" s="1"/>
      <c r="AE21" s="1"/>
      <c r="AF21" s="1"/>
      <c r="AG21" s="1"/>
      <c r="AH21" s="1"/>
      <c r="AI21" s="1"/>
      <c r="AJ21" s="1"/>
      <c r="AK21" s="1"/>
      <c r="AL21" s="1"/>
      <c r="AM21" s="1"/>
      <c r="AN21" s="1"/>
      <c r="AO21" s="1"/>
      <c r="AP21" s="1"/>
      <c r="AQ21" s="1"/>
      <c r="AR21" s="1"/>
      <c r="AS21" s="1"/>
      <c r="AT21" s="1"/>
      <c r="AU21" s="1"/>
      <c r="AV21" s="1"/>
      <c r="AW21" s="1"/>
      <c r="AX21" s="1"/>
      <c r="AY21" s="1"/>
    </row>
    <row r="22" spans="1:51" ht="30" customHeight="1">
      <c r="A22" s="299"/>
      <c r="B22" s="488"/>
      <c r="C22" s="488"/>
      <c r="D22" s="488"/>
      <c r="E22" s="488"/>
      <c r="F22" s="488"/>
      <c r="G22" s="488"/>
      <c r="H22" s="488"/>
      <c r="I22" s="488"/>
      <c r="J22" s="488"/>
      <c r="K22" s="488"/>
      <c r="L22" s="488"/>
      <c r="M22" s="488"/>
      <c r="N22" s="489"/>
      <c r="O22" s="299"/>
      <c r="P22" s="488"/>
      <c r="Q22" s="488"/>
      <c r="R22" s="488"/>
      <c r="S22" s="488"/>
      <c r="T22" s="488"/>
      <c r="U22" s="488"/>
      <c r="V22" s="488"/>
      <c r="W22" s="488"/>
      <c r="X22" s="488"/>
      <c r="Y22" s="488"/>
      <c r="Z22" s="488"/>
      <c r="AA22" s="488"/>
      <c r="AB22" s="489"/>
      <c r="AC22" s="1"/>
      <c r="AD22" s="1"/>
      <c r="AE22" s="1"/>
      <c r="AF22" s="1"/>
      <c r="AG22" s="1"/>
      <c r="AH22" s="1"/>
      <c r="AI22" s="1"/>
      <c r="AJ22" s="1"/>
      <c r="AK22" s="1"/>
      <c r="AL22" s="1"/>
      <c r="AM22" s="1"/>
      <c r="AN22" s="1"/>
      <c r="AO22" s="1"/>
      <c r="AP22" s="1"/>
      <c r="AQ22" s="1"/>
      <c r="AR22" s="1"/>
      <c r="AS22" s="1"/>
      <c r="AT22" s="1"/>
      <c r="AU22" s="1"/>
      <c r="AV22" s="1"/>
      <c r="AW22" s="1"/>
      <c r="AX22" s="1"/>
      <c r="AY22" s="1"/>
    </row>
    <row r="23" spans="1:51" ht="60" customHeight="1">
      <c r="A23" s="479"/>
      <c r="B23" s="479"/>
      <c r="C23" s="479"/>
      <c r="D23" s="479"/>
      <c r="E23" s="479"/>
      <c r="F23" s="479"/>
      <c r="G23" s="479"/>
      <c r="H23" s="479"/>
      <c r="I23" s="479"/>
      <c r="J23" s="479"/>
      <c r="K23" s="479"/>
      <c r="L23" s="479"/>
      <c r="M23" s="479"/>
      <c r="N23" s="479"/>
      <c r="O23" s="479"/>
      <c r="P23" s="479"/>
      <c r="Q23" s="479"/>
      <c r="R23" s="479"/>
      <c r="S23" s="479"/>
      <c r="T23" s="479"/>
      <c r="U23" s="479"/>
      <c r="V23" s="479"/>
      <c r="W23" s="479"/>
      <c r="X23" s="479"/>
      <c r="Y23" s="479"/>
      <c r="Z23" s="479"/>
      <c r="AA23" s="479"/>
      <c r="AB23" s="479"/>
    </row>
    <row r="24" spans="1:51" ht="19.95" customHeight="1">
      <c r="A24" s="479"/>
      <c r="B24" s="479"/>
      <c r="C24" s="479"/>
      <c r="D24" s="479"/>
      <c r="E24" s="479"/>
      <c r="F24" s="479"/>
      <c r="G24" s="479"/>
      <c r="H24" s="479"/>
      <c r="I24" s="479"/>
      <c r="J24" s="479"/>
      <c r="K24" s="479"/>
      <c r="L24" s="479"/>
      <c r="M24" s="479"/>
      <c r="N24" s="479"/>
      <c r="O24" s="479"/>
      <c r="P24" s="479"/>
      <c r="Q24" s="479"/>
      <c r="R24" s="479"/>
      <c r="S24" s="479"/>
      <c r="T24" s="479"/>
      <c r="U24" s="479"/>
      <c r="V24" s="479"/>
      <c r="W24" s="479"/>
      <c r="X24" s="479"/>
      <c r="Y24" s="479"/>
      <c r="Z24" s="479"/>
      <c r="AA24" s="479"/>
      <c r="AB24" s="479"/>
    </row>
    <row r="25" spans="1:51" ht="19.95" customHeight="1" thickBot="1">
      <c r="A25" s="479"/>
      <c r="B25" s="479"/>
      <c r="C25" s="479"/>
      <c r="D25" s="479"/>
      <c r="E25" s="479"/>
      <c r="F25" s="479"/>
      <c r="G25" s="479"/>
      <c r="H25" s="479"/>
      <c r="I25" s="479"/>
      <c r="J25" s="479"/>
      <c r="K25" s="479"/>
      <c r="L25" s="479"/>
      <c r="M25" s="479"/>
      <c r="N25" s="479"/>
      <c r="O25" s="479"/>
      <c r="P25" s="479"/>
      <c r="Q25" s="479"/>
      <c r="R25" s="479"/>
      <c r="S25" s="479"/>
      <c r="T25" s="479"/>
      <c r="U25" s="479"/>
      <c r="V25" s="479"/>
      <c r="W25" s="479"/>
      <c r="X25" s="479"/>
      <c r="Y25" s="479"/>
      <c r="Z25" s="479"/>
      <c r="AA25" s="479"/>
      <c r="AB25" s="479"/>
    </row>
    <row r="26" spans="1:51" ht="19.95" customHeight="1">
      <c r="A26" s="479"/>
      <c r="B26" s="555"/>
      <c r="C26" s="556"/>
      <c r="D26" s="556"/>
      <c r="E26" s="556"/>
      <c r="F26" s="556"/>
      <c r="G26" s="556"/>
      <c r="H26" s="556"/>
      <c r="I26" s="556"/>
      <c r="J26" s="556"/>
      <c r="K26" s="556"/>
      <c r="L26" s="556"/>
      <c r="M26" s="557"/>
      <c r="N26" s="479"/>
      <c r="O26" s="479"/>
      <c r="P26" s="479"/>
      <c r="Q26" s="479"/>
      <c r="R26" s="479"/>
      <c r="S26" s="479"/>
      <c r="T26" s="479"/>
      <c r="U26" s="479"/>
      <c r="V26" s="479"/>
      <c r="W26" s="479"/>
      <c r="X26" s="479"/>
      <c r="Y26" s="479"/>
      <c r="Z26" s="479"/>
      <c r="AA26" s="479"/>
      <c r="AB26" s="479"/>
    </row>
    <row r="27" spans="1:51" ht="49.95" customHeight="1">
      <c r="A27" s="479"/>
      <c r="B27" s="558"/>
      <c r="C27" s="525"/>
      <c r="D27" s="525"/>
      <c r="E27" s="525"/>
      <c r="F27" s="525"/>
      <c r="G27" s="525"/>
      <c r="H27" s="525"/>
      <c r="I27" s="525"/>
      <c r="J27" s="525"/>
      <c r="K27" s="525"/>
      <c r="L27" s="525"/>
      <c r="M27" s="559"/>
      <c r="N27" s="479"/>
      <c r="O27" s="479"/>
      <c r="P27" s="479"/>
      <c r="Q27" s="479"/>
      <c r="R27" s="479"/>
      <c r="S27" s="479"/>
      <c r="T27" s="479"/>
      <c r="U27" s="479"/>
      <c r="V27" s="479"/>
      <c r="W27" s="479"/>
      <c r="X27" s="479"/>
      <c r="Y27" s="479"/>
      <c r="Z27" s="479"/>
      <c r="AA27" s="479"/>
      <c r="AB27" s="479"/>
    </row>
    <row r="28" spans="1:51" ht="19.95" customHeight="1">
      <c r="A28" s="479"/>
      <c r="B28" s="558"/>
      <c r="C28" s="525"/>
      <c r="D28" s="525"/>
      <c r="E28" s="525"/>
      <c r="F28" s="525"/>
      <c r="G28" s="525"/>
      <c r="H28" s="525"/>
      <c r="I28" s="525"/>
      <c r="J28" s="525"/>
      <c r="K28" s="525"/>
      <c r="L28" s="525"/>
      <c r="M28" s="559"/>
      <c r="N28" s="479"/>
      <c r="O28" s="479"/>
      <c r="P28" s="479"/>
      <c r="Q28" s="479"/>
      <c r="R28" s="479"/>
      <c r="S28" s="479"/>
      <c r="T28" s="479"/>
      <c r="U28" s="479"/>
      <c r="V28" s="479"/>
      <c r="W28" s="479"/>
      <c r="X28" s="479"/>
      <c r="Y28" s="479"/>
      <c r="Z28" s="479"/>
      <c r="AA28" s="479"/>
      <c r="AB28" s="479"/>
    </row>
    <row r="29" spans="1:51" ht="19.95" customHeight="1">
      <c r="A29" s="479"/>
      <c r="B29" s="558"/>
      <c r="C29" s="525"/>
      <c r="D29" s="525"/>
      <c r="E29" s="525"/>
      <c r="F29" s="525"/>
      <c r="G29" s="525"/>
      <c r="H29" s="525"/>
      <c r="I29" s="525"/>
      <c r="J29" s="525"/>
      <c r="K29" s="525"/>
      <c r="L29" s="525"/>
      <c r="M29" s="559"/>
      <c r="N29" s="479"/>
      <c r="O29" s="479"/>
      <c r="P29" s="479"/>
      <c r="Q29" s="479"/>
      <c r="R29" s="479"/>
      <c r="S29" s="479"/>
      <c r="T29" s="479"/>
      <c r="U29" s="479"/>
      <c r="V29" s="479"/>
      <c r="W29" s="479"/>
      <c r="X29" s="479"/>
      <c r="Y29" s="479"/>
      <c r="Z29" s="479"/>
      <c r="AA29" s="479"/>
      <c r="AB29" s="479"/>
    </row>
    <row r="30" spans="1:51" ht="19.95" customHeight="1">
      <c r="A30" s="479"/>
      <c r="B30" s="558"/>
      <c r="C30" s="525"/>
      <c r="D30" s="525"/>
      <c r="E30" s="525"/>
      <c r="F30" s="525"/>
      <c r="G30" s="525"/>
      <c r="H30" s="525"/>
      <c r="I30" s="525"/>
      <c r="J30" s="525"/>
      <c r="K30" s="525"/>
      <c r="L30" s="525"/>
      <c r="M30" s="559"/>
      <c r="N30" s="479"/>
      <c r="O30" s="479"/>
      <c r="P30" s="479"/>
      <c r="Q30" s="479"/>
      <c r="R30" s="479"/>
      <c r="S30" s="479"/>
      <c r="T30" s="479"/>
      <c r="U30" s="479"/>
      <c r="V30" s="479"/>
      <c r="W30" s="479"/>
      <c r="X30" s="479"/>
      <c r="Y30" s="479"/>
      <c r="Z30" s="479"/>
      <c r="AA30" s="479"/>
      <c r="AB30" s="479"/>
    </row>
    <row r="31" spans="1:51" ht="19.95" customHeight="1" thickBot="1">
      <c r="A31" s="479"/>
      <c r="B31" s="560"/>
      <c r="C31" s="561"/>
      <c r="D31" s="561"/>
      <c r="E31" s="561"/>
      <c r="F31" s="561"/>
      <c r="G31" s="561"/>
      <c r="H31" s="561"/>
      <c r="I31" s="561"/>
      <c r="J31" s="561"/>
      <c r="K31" s="561"/>
      <c r="L31" s="561"/>
      <c r="M31" s="562"/>
      <c r="N31" s="479"/>
      <c r="O31" s="479"/>
      <c r="P31" s="479"/>
      <c r="Q31" s="479"/>
      <c r="R31" s="479"/>
      <c r="S31" s="479"/>
      <c r="T31" s="479"/>
      <c r="U31" s="479"/>
      <c r="V31" s="479"/>
      <c r="W31" s="479"/>
      <c r="X31" s="479"/>
      <c r="Y31" s="479"/>
      <c r="Z31" s="479"/>
      <c r="AA31" s="479"/>
      <c r="AB31" s="479"/>
    </row>
    <row r="32" spans="1:51" ht="10.050000000000001" customHeight="1" thickBot="1">
      <c r="A32" s="479"/>
      <c r="B32" s="479"/>
      <c r="C32" s="523"/>
      <c r="D32" s="479"/>
      <c r="E32" s="479"/>
      <c r="F32" s="479"/>
      <c r="G32" s="479"/>
      <c r="H32" s="479"/>
      <c r="I32" s="479"/>
      <c r="J32" s="479"/>
      <c r="K32" s="479"/>
      <c r="L32" s="479"/>
      <c r="M32" s="479"/>
      <c r="N32" s="479"/>
      <c r="O32" s="479"/>
      <c r="P32" s="479"/>
      <c r="Q32" s="479"/>
      <c r="R32" s="479"/>
      <c r="S32" s="479"/>
      <c r="T32" s="479"/>
      <c r="U32" s="479"/>
      <c r="V32" s="479"/>
      <c r="W32" s="479"/>
      <c r="X32" s="479"/>
      <c r="Y32" s="479"/>
      <c r="Z32" s="479"/>
      <c r="AA32" s="479"/>
      <c r="AB32" s="479"/>
    </row>
    <row r="33" spans="1:28" ht="19.95" customHeight="1">
      <c r="A33" s="479"/>
      <c r="B33" s="529"/>
      <c r="C33" s="552" t="s">
        <v>2010</v>
      </c>
      <c r="D33" s="552"/>
      <c r="E33" s="530"/>
      <c r="F33" s="530"/>
      <c r="G33" s="530"/>
      <c r="H33" s="530"/>
      <c r="I33" s="530"/>
      <c r="J33" s="530"/>
      <c r="K33" s="530"/>
      <c r="L33" s="541">
        <v>2</v>
      </c>
      <c r="M33" s="545">
        <v>2</v>
      </c>
      <c r="N33" s="479"/>
      <c r="O33" s="479"/>
      <c r="P33" s="479"/>
      <c r="Q33" s="479"/>
      <c r="R33" s="479"/>
      <c r="S33" s="479"/>
      <c r="T33" s="479"/>
      <c r="U33" s="479"/>
      <c r="V33" s="479"/>
      <c r="W33" s="479"/>
      <c r="X33" s="479"/>
      <c r="Y33" s="479"/>
      <c r="Z33" s="479"/>
      <c r="AA33" s="479"/>
      <c r="AB33" s="479"/>
    </row>
    <row r="34" spans="1:28" ht="19.95" customHeight="1">
      <c r="A34" s="479"/>
      <c r="B34" s="531"/>
      <c r="C34" s="554" t="s">
        <v>1790</v>
      </c>
      <c r="D34" s="553"/>
      <c r="E34" s="525"/>
      <c r="F34" s="525"/>
      <c r="G34" s="525"/>
      <c r="H34" s="532"/>
      <c r="I34" s="525"/>
      <c r="J34" s="525"/>
      <c r="K34" s="525"/>
      <c r="L34" s="542">
        <v>3</v>
      </c>
      <c r="M34" s="546">
        <v>3</v>
      </c>
      <c r="N34" s="479"/>
      <c r="O34" s="479"/>
      <c r="P34" s="479"/>
      <c r="Q34" s="479"/>
      <c r="R34" s="479"/>
      <c r="S34" s="479"/>
      <c r="T34" s="479"/>
      <c r="U34" s="479"/>
      <c r="V34" s="479"/>
      <c r="W34" s="479"/>
      <c r="X34" s="479"/>
      <c r="Y34" s="479"/>
      <c r="Z34" s="479"/>
      <c r="AA34" s="479"/>
      <c r="AB34" s="479"/>
    </row>
    <row r="35" spans="1:28" ht="19.95" customHeight="1" thickBot="1">
      <c r="A35" s="479"/>
      <c r="B35" s="533"/>
      <c r="C35" s="1284" t="str">
        <f>B89</f>
        <v>Slipping into political tension</v>
      </c>
      <c r="D35" s="1284"/>
      <c r="E35" s="1284"/>
      <c r="F35" s="1284"/>
      <c r="G35" s="1284"/>
      <c r="H35" s="580" t="s">
        <v>1794</v>
      </c>
      <c r="I35" s="563" t="s">
        <v>1793</v>
      </c>
      <c r="J35" s="563" t="s">
        <v>1792</v>
      </c>
      <c r="K35" s="563" t="s">
        <v>1791</v>
      </c>
      <c r="L35" s="543">
        <v>4</v>
      </c>
      <c r="M35" s="547">
        <v>4</v>
      </c>
      <c r="N35" s="479"/>
      <c r="O35" s="479"/>
      <c r="P35" s="479"/>
      <c r="Q35" s="479"/>
      <c r="R35" s="479"/>
      <c r="S35" s="479"/>
      <c r="T35" s="479"/>
      <c r="U35" s="479"/>
      <c r="V35" s="479"/>
      <c r="W35" s="479"/>
      <c r="X35" s="479"/>
      <c r="Y35" s="479"/>
      <c r="Z35" s="479"/>
      <c r="AA35" s="479"/>
      <c r="AB35" s="479"/>
    </row>
    <row r="36" spans="1:28" ht="25.05" customHeight="1" thickTop="1">
      <c r="A36" s="479"/>
      <c r="B36" s="526"/>
      <c r="C36" s="1283" t="str">
        <f>B126</f>
        <v>Moving therapy beyond popular politics</v>
      </c>
      <c r="D36" s="1283"/>
      <c r="E36" s="1283"/>
      <c r="F36" s="1283"/>
      <c r="G36" s="1283"/>
      <c r="H36" s="1283"/>
      <c r="I36" s="1283"/>
      <c r="J36" s="1283"/>
      <c r="K36" s="1283"/>
      <c r="L36" s="544">
        <v>5</v>
      </c>
      <c r="M36" s="548">
        <v>5</v>
      </c>
      <c r="N36" s="479"/>
      <c r="O36" s="479"/>
      <c r="P36" s="479"/>
      <c r="Q36" s="479"/>
      <c r="R36" s="479"/>
      <c r="S36" s="479"/>
      <c r="T36" s="479"/>
      <c r="U36" s="479"/>
      <c r="V36" s="479"/>
      <c r="W36" s="479"/>
      <c r="X36" s="479"/>
      <c r="Y36" s="479"/>
      <c r="Z36" s="479"/>
      <c r="AA36" s="479"/>
      <c r="AB36" s="479"/>
    </row>
    <row r="37" spans="1:28" ht="19.95" customHeight="1">
      <c r="A37" s="479"/>
      <c r="B37" s="527"/>
      <c r="C37" s="1285" t="str">
        <f>B163</f>
        <v>1. Politics reveals your client's unresolved needs.</v>
      </c>
      <c r="D37" s="1285"/>
      <c r="E37" s="1285"/>
      <c r="F37" s="1285"/>
      <c r="G37" s="1285"/>
      <c r="H37" s="1285"/>
      <c r="I37" s="1285"/>
      <c r="J37" s="1285"/>
      <c r="K37" s="1285"/>
      <c r="L37" s="542">
        <v>6</v>
      </c>
      <c r="M37" s="549">
        <v>6</v>
      </c>
      <c r="N37" s="479"/>
      <c r="O37" s="479"/>
      <c r="P37" s="479"/>
      <c r="Q37" s="479"/>
      <c r="R37" s="479"/>
      <c r="S37" s="479"/>
      <c r="T37" s="479"/>
      <c r="U37" s="479"/>
      <c r="V37" s="479"/>
      <c r="W37" s="479"/>
      <c r="X37" s="479"/>
      <c r="Y37" s="479"/>
      <c r="Z37" s="479"/>
      <c r="AA37" s="479"/>
      <c r="AB37" s="479"/>
    </row>
    <row r="38" spans="1:28" ht="19.95" customHeight="1">
      <c r="A38" s="479"/>
      <c r="B38" s="527"/>
      <c r="C38" s="1285" t="str">
        <f>B203</f>
        <v>2. Politics unmasks your client's vulnerable needs.</v>
      </c>
      <c r="D38" s="1285"/>
      <c r="E38" s="1285"/>
      <c r="F38" s="1285"/>
      <c r="G38" s="1285"/>
      <c r="H38" s="1285"/>
      <c r="I38" s="1285"/>
      <c r="J38" s="1285"/>
      <c r="K38" s="1285"/>
      <c r="L38" s="542">
        <v>7</v>
      </c>
      <c r="M38" s="549">
        <v>7</v>
      </c>
      <c r="N38" s="479"/>
      <c r="O38" s="479"/>
      <c r="P38" s="479"/>
      <c r="Q38" s="479"/>
      <c r="R38" s="479"/>
      <c r="S38" s="479"/>
      <c r="T38" s="479"/>
      <c r="U38" s="479"/>
      <c r="V38" s="479"/>
      <c r="W38" s="479"/>
      <c r="X38" s="479"/>
      <c r="Y38" s="479"/>
      <c r="Z38" s="479"/>
      <c r="AA38" s="479"/>
      <c r="AB38" s="479"/>
    </row>
    <row r="39" spans="1:28" ht="19.95" customHeight="1" thickBot="1">
      <c r="A39" s="479"/>
      <c r="B39" s="528"/>
      <c r="C39" s="1290" t="str">
        <f>B240</f>
        <v>3. Politics exposes structural barriers to needs.</v>
      </c>
      <c r="D39" s="1290"/>
      <c r="E39" s="1290"/>
      <c r="F39" s="1290"/>
      <c r="G39" s="1290"/>
      <c r="H39" s="1290"/>
      <c r="I39" s="1290"/>
      <c r="J39" s="1290"/>
      <c r="K39" s="1290"/>
      <c r="L39" s="543">
        <v>8</v>
      </c>
      <c r="M39" s="550">
        <v>8</v>
      </c>
      <c r="N39" s="479"/>
      <c r="O39" s="479"/>
      <c r="P39" s="479"/>
      <c r="Q39" s="479"/>
      <c r="R39" s="479"/>
      <c r="S39" s="479"/>
      <c r="T39" s="479"/>
      <c r="U39" s="479"/>
      <c r="V39" s="479"/>
      <c r="W39" s="479"/>
      <c r="X39" s="479"/>
      <c r="Y39" s="479"/>
      <c r="Z39" s="479"/>
      <c r="AA39" s="479"/>
      <c r="AB39" s="479"/>
    </row>
    <row r="40" spans="1:28" ht="25.05" customHeight="1" thickTop="1">
      <c r="A40" s="479"/>
      <c r="B40" s="526"/>
      <c r="C40" s="1283" t="str">
        <f>B277</f>
        <v>Therapeutic Harmony Politics</v>
      </c>
      <c r="D40" s="1283"/>
      <c r="E40" s="1283"/>
      <c r="F40" s="1283"/>
      <c r="G40" s="1283"/>
      <c r="H40" s="1283"/>
      <c r="I40" s="1283"/>
      <c r="J40" s="1283"/>
      <c r="K40" s="1283"/>
      <c r="L40" s="544">
        <v>9</v>
      </c>
      <c r="M40" s="548">
        <v>9</v>
      </c>
      <c r="N40" s="479"/>
      <c r="O40" s="479"/>
      <c r="P40" s="479"/>
      <c r="Q40" s="479"/>
      <c r="R40" s="479"/>
      <c r="S40" s="479"/>
      <c r="T40" s="479"/>
      <c r="U40" s="479"/>
      <c r="V40" s="479"/>
      <c r="W40" s="479"/>
      <c r="X40" s="479"/>
      <c r="Y40" s="479"/>
      <c r="Z40" s="479"/>
      <c r="AA40" s="479"/>
      <c r="AB40" s="479"/>
    </row>
    <row r="41" spans="1:28" ht="19.95" customHeight="1">
      <c r="A41" s="479"/>
      <c r="B41" s="527"/>
      <c r="C41" s="1285" t="str">
        <f>B314</f>
        <v>1. Identifying affected needs - "degeneralize"</v>
      </c>
      <c r="D41" s="1285"/>
      <c r="E41" s="1285"/>
      <c r="F41" s="1285"/>
      <c r="G41" s="1285"/>
      <c r="H41" s="1285"/>
      <c r="I41" s="1285"/>
      <c r="J41" s="1285"/>
      <c r="K41" s="1285"/>
      <c r="L41" s="542">
        <v>10</v>
      </c>
      <c r="M41" s="549">
        <v>10</v>
      </c>
      <c r="N41" s="479"/>
      <c r="O41" s="479"/>
      <c r="P41" s="479"/>
      <c r="Q41" s="479"/>
      <c r="R41" s="479"/>
      <c r="S41" s="479"/>
      <c r="T41" s="479"/>
      <c r="U41" s="479"/>
      <c r="V41" s="479"/>
      <c r="W41" s="479"/>
      <c r="X41" s="479"/>
      <c r="Y41" s="479"/>
      <c r="Z41" s="479"/>
      <c r="AA41" s="479"/>
      <c r="AB41" s="479"/>
    </row>
    <row r="42" spans="1:28" ht="19.95" customHeight="1">
      <c r="A42" s="479"/>
      <c r="B42" s="527"/>
      <c r="C42" s="1291" t="str">
        <f>B352</f>
        <v>De-generalizing</v>
      </c>
      <c r="D42" s="1291"/>
      <c r="E42" s="1291"/>
      <c r="F42" s="1291"/>
      <c r="G42" s="1291"/>
      <c r="H42" s="1291"/>
      <c r="I42" s="1291"/>
      <c r="J42" s="1291"/>
      <c r="K42" s="1291"/>
      <c r="L42" s="542">
        <v>11</v>
      </c>
      <c r="M42" s="549">
        <v>11</v>
      </c>
      <c r="N42" s="479"/>
      <c r="O42" s="479"/>
      <c r="P42" s="479"/>
      <c r="Q42" s="479"/>
      <c r="R42" s="479"/>
      <c r="S42" s="479"/>
      <c r="T42" s="479"/>
      <c r="U42" s="479"/>
      <c r="V42" s="479"/>
      <c r="W42" s="479"/>
      <c r="X42" s="479"/>
      <c r="Y42" s="479"/>
      <c r="Z42" s="479"/>
      <c r="AA42" s="479"/>
      <c r="AB42" s="479"/>
    </row>
    <row r="43" spans="1:28" ht="19.95" customHeight="1">
      <c r="A43" s="479"/>
      <c r="B43" s="527"/>
      <c r="C43" s="1285" t="str">
        <f>B386</f>
        <v>2. Expressing affected needs - "dealienate"</v>
      </c>
      <c r="D43" s="1285"/>
      <c r="E43" s="1285"/>
      <c r="F43" s="1285"/>
      <c r="G43" s="1285"/>
      <c r="H43" s="1285"/>
      <c r="I43" s="1285"/>
      <c r="J43" s="1285"/>
      <c r="K43" s="1285"/>
      <c r="L43" s="542">
        <v>12</v>
      </c>
      <c r="M43" s="549">
        <v>12</v>
      </c>
      <c r="N43" s="479"/>
      <c r="O43" s="479"/>
      <c r="P43" s="479"/>
      <c r="Q43" s="479"/>
      <c r="R43" s="479"/>
      <c r="S43" s="479"/>
      <c r="T43" s="479"/>
      <c r="U43" s="479"/>
      <c r="V43" s="479"/>
      <c r="W43" s="479"/>
      <c r="X43" s="479"/>
      <c r="Y43" s="479"/>
      <c r="Z43" s="479"/>
      <c r="AA43" s="479"/>
      <c r="AB43" s="479"/>
    </row>
    <row r="44" spans="1:28" ht="19.95" customHeight="1">
      <c r="A44" s="479"/>
      <c r="B44" s="527"/>
      <c r="C44" s="1291" t="str">
        <f>B425</f>
        <v>De-alienating</v>
      </c>
      <c r="D44" s="1291"/>
      <c r="E44" s="1291"/>
      <c r="F44" s="1291"/>
      <c r="G44" s="1291"/>
      <c r="H44" s="1291"/>
      <c r="I44" s="1291"/>
      <c r="J44" s="1291"/>
      <c r="K44" s="1291"/>
      <c r="L44" s="542">
        <v>13</v>
      </c>
      <c r="M44" s="549">
        <v>13</v>
      </c>
      <c r="N44" s="479"/>
      <c r="O44" s="479"/>
      <c r="P44" s="479"/>
      <c r="Q44" s="479"/>
      <c r="R44" s="479"/>
      <c r="S44" s="479"/>
      <c r="T44" s="479"/>
      <c r="U44" s="479"/>
      <c r="V44" s="479"/>
      <c r="W44" s="479"/>
      <c r="X44" s="479"/>
      <c r="Y44" s="479"/>
      <c r="Z44" s="479"/>
      <c r="AA44" s="479"/>
      <c r="AB44" s="479"/>
    </row>
    <row r="45" spans="1:28" ht="19.95" customHeight="1">
      <c r="A45" s="479"/>
      <c r="B45" s="527"/>
      <c r="C45" s="1285" t="str">
        <f>B461</f>
        <v>3. Addressing affected needs - "depolarize"</v>
      </c>
      <c r="D45" s="1285"/>
      <c r="E45" s="1285"/>
      <c r="F45" s="1285"/>
      <c r="G45" s="1285"/>
      <c r="H45" s="1285"/>
      <c r="I45" s="1285"/>
      <c r="J45" s="1285"/>
      <c r="K45" s="1285"/>
      <c r="L45" s="542">
        <v>14</v>
      </c>
      <c r="M45" s="549">
        <v>14</v>
      </c>
      <c r="N45" s="479"/>
      <c r="O45" s="479"/>
      <c r="P45" s="479"/>
      <c r="Q45" s="479"/>
      <c r="R45" s="479"/>
      <c r="S45" s="479"/>
      <c r="T45" s="479"/>
      <c r="U45" s="479"/>
      <c r="V45" s="479"/>
      <c r="W45" s="479"/>
      <c r="X45" s="479"/>
      <c r="Y45" s="479"/>
      <c r="Z45" s="479"/>
      <c r="AA45" s="479"/>
      <c r="AB45" s="479"/>
    </row>
    <row r="46" spans="1:28" ht="19.95" customHeight="1" thickBot="1">
      <c r="A46" s="479"/>
      <c r="B46" s="528"/>
      <c r="C46" s="1288" t="str">
        <f>B500</f>
        <v>De-polarizing</v>
      </c>
      <c r="D46" s="1288"/>
      <c r="E46" s="1288"/>
      <c r="F46" s="1288"/>
      <c r="G46" s="1288"/>
      <c r="H46" s="1288"/>
      <c r="I46" s="1288"/>
      <c r="J46" s="1288"/>
      <c r="K46" s="1288"/>
      <c r="L46" s="543">
        <v>15</v>
      </c>
      <c r="M46" s="550">
        <v>15</v>
      </c>
      <c r="N46" s="479"/>
      <c r="O46" s="479"/>
      <c r="P46" s="479"/>
      <c r="Q46" s="479"/>
      <c r="R46" s="479"/>
      <c r="S46" s="479"/>
      <c r="T46" s="479"/>
      <c r="U46" s="479"/>
      <c r="V46" s="479"/>
      <c r="W46" s="479"/>
      <c r="X46" s="479"/>
      <c r="Y46" s="479"/>
      <c r="Z46" s="479"/>
      <c r="AA46" s="479"/>
      <c r="AB46" s="479"/>
    </row>
    <row r="47" spans="1:28" ht="25.05" customHeight="1" thickTop="1">
      <c r="A47" s="479"/>
      <c r="B47" s="534"/>
      <c r="C47" s="1283" t="str">
        <f>B538</f>
        <v>TAKEAWAY</v>
      </c>
      <c r="D47" s="1283"/>
      <c r="E47" s="1283"/>
      <c r="F47" s="1283"/>
      <c r="G47" s="1283"/>
      <c r="H47" s="1283"/>
      <c r="I47" s="524"/>
      <c r="J47" s="524"/>
      <c r="K47" s="524"/>
      <c r="L47" s="544">
        <v>16</v>
      </c>
      <c r="M47" s="551">
        <v>16</v>
      </c>
      <c r="N47" s="479"/>
      <c r="O47" s="479"/>
      <c r="P47" s="479"/>
      <c r="Q47" s="479"/>
      <c r="R47" s="479"/>
      <c r="S47" s="479"/>
      <c r="T47" s="479"/>
      <c r="U47" s="479"/>
      <c r="V47" s="479"/>
      <c r="W47" s="479"/>
      <c r="X47" s="479"/>
      <c r="Y47" s="479"/>
      <c r="Z47" s="479"/>
      <c r="AA47" s="479"/>
      <c r="AB47" s="479"/>
    </row>
    <row r="48" spans="1:28" ht="19.95" customHeight="1">
      <c r="A48" s="479"/>
      <c r="B48" s="531"/>
      <c r="C48" s="1289" t="str">
        <f>B571</f>
        <v>Therapeutic Harmony Politics</v>
      </c>
      <c r="D48" s="1289"/>
      <c r="E48" s="1289"/>
      <c r="F48" s="1289"/>
      <c r="G48" s="1289"/>
      <c r="H48" s="1289"/>
      <c r="I48" s="525"/>
      <c r="J48" s="525"/>
      <c r="K48" s="525"/>
      <c r="L48" s="542">
        <v>17</v>
      </c>
      <c r="M48" s="546">
        <v>17</v>
      </c>
      <c r="N48" s="479"/>
      <c r="O48" s="479"/>
      <c r="P48" s="479"/>
      <c r="Q48" s="479"/>
      <c r="R48" s="479"/>
      <c r="S48" s="479"/>
      <c r="T48" s="479"/>
      <c r="U48" s="479"/>
      <c r="V48" s="479"/>
      <c r="W48" s="479"/>
      <c r="X48" s="479"/>
      <c r="Y48" s="479"/>
      <c r="Z48" s="479"/>
      <c r="AA48" s="479"/>
      <c r="AB48" s="479"/>
    </row>
    <row r="49" spans="1:52" ht="19.95" customHeight="1">
      <c r="A49" s="479"/>
      <c r="B49" s="531"/>
      <c r="C49" s="1289" t="str">
        <f>B608</f>
        <v>Introducing psychosociotherapy</v>
      </c>
      <c r="D49" s="1289"/>
      <c r="E49" s="1289"/>
      <c r="F49" s="1289"/>
      <c r="G49" s="1289"/>
      <c r="H49" s="1289"/>
      <c r="I49" s="525"/>
      <c r="J49" s="525"/>
      <c r="K49" s="525"/>
      <c r="L49" s="542">
        <v>18</v>
      </c>
      <c r="M49" s="546">
        <v>18</v>
      </c>
      <c r="N49" s="479"/>
      <c r="O49" s="479"/>
      <c r="P49" s="479"/>
      <c r="Q49" s="479"/>
      <c r="R49" s="479"/>
      <c r="S49" s="479"/>
      <c r="T49" s="479"/>
      <c r="U49" s="479"/>
      <c r="V49" s="479"/>
      <c r="W49" s="479"/>
      <c r="X49" s="479"/>
      <c r="Y49" s="479"/>
      <c r="Z49" s="479"/>
      <c r="AA49" s="479"/>
      <c r="AB49" s="479"/>
    </row>
    <row r="50" spans="1:52" ht="19.95" customHeight="1">
      <c r="A50" s="479"/>
      <c r="B50" s="531"/>
      <c r="C50" s="1289" t="str">
        <f>B641</f>
        <v>Competitive responsiveness</v>
      </c>
      <c r="D50" s="1289"/>
      <c r="E50" s="1289"/>
      <c r="F50" s="1289"/>
      <c r="G50" s="1289"/>
      <c r="H50" s="1289"/>
      <c r="I50" s="525"/>
      <c r="J50" s="525"/>
      <c r="K50" s="525"/>
      <c r="L50" s="542">
        <v>19</v>
      </c>
      <c r="M50" s="546">
        <v>19</v>
      </c>
      <c r="N50" s="479"/>
      <c r="O50" s="479"/>
      <c r="P50" s="479"/>
      <c r="Q50" s="479"/>
      <c r="R50" s="479"/>
      <c r="S50" s="479"/>
      <c r="T50" s="479"/>
      <c r="U50" s="479"/>
      <c r="V50" s="479"/>
      <c r="W50" s="479"/>
      <c r="X50" s="479"/>
      <c r="Y50" s="479"/>
      <c r="Z50" s="479"/>
      <c r="AA50" s="479"/>
      <c r="AB50" s="479"/>
    </row>
    <row r="51" spans="1:52" ht="19.95" customHeight="1">
      <c r="A51" s="479"/>
      <c r="B51" s="531"/>
      <c r="C51" s="1289" t="str">
        <f>B676</f>
        <v>Value Relating's other free tools</v>
      </c>
      <c r="D51" s="1289"/>
      <c r="E51" s="1289"/>
      <c r="F51" s="1289"/>
      <c r="G51" s="1289"/>
      <c r="H51" s="1289"/>
      <c r="I51" s="525"/>
      <c r="J51" s="525"/>
      <c r="K51" s="525"/>
      <c r="L51" s="542">
        <v>20</v>
      </c>
      <c r="M51" s="546">
        <v>20</v>
      </c>
      <c r="N51" s="479"/>
      <c r="O51" s="479"/>
      <c r="P51" s="479"/>
      <c r="Q51" s="479"/>
      <c r="R51" s="479"/>
      <c r="S51" s="479"/>
      <c r="T51" s="479"/>
      <c r="U51" s="479"/>
      <c r="V51" s="479"/>
      <c r="W51" s="479"/>
      <c r="X51" s="479"/>
      <c r="Y51" s="479"/>
      <c r="Z51" s="479"/>
      <c r="AA51" s="479"/>
      <c r="AB51" s="479"/>
    </row>
    <row r="52" spans="1:52" ht="10.050000000000001" customHeight="1" thickBot="1">
      <c r="A52" s="479"/>
      <c r="B52" s="535"/>
      <c r="C52" s="540"/>
      <c r="D52" s="540"/>
      <c r="E52" s="536"/>
      <c r="F52" s="536"/>
      <c r="G52" s="536"/>
      <c r="H52" s="536"/>
      <c r="I52" s="536"/>
      <c r="J52" s="536"/>
      <c r="K52" s="536"/>
      <c r="L52" s="536"/>
      <c r="M52" s="537"/>
      <c r="N52" s="479"/>
      <c r="O52" s="479"/>
      <c r="P52" s="479"/>
      <c r="Q52" s="479"/>
      <c r="R52" s="479"/>
      <c r="S52" s="479"/>
      <c r="T52" s="479"/>
      <c r="U52" s="479"/>
      <c r="V52" s="479"/>
      <c r="W52" s="479"/>
      <c r="X52" s="479"/>
      <c r="Y52" s="479"/>
      <c r="Z52" s="479"/>
      <c r="AA52" s="479"/>
      <c r="AB52" s="479"/>
    </row>
    <row r="53" spans="1:52" ht="15" customHeight="1">
      <c r="A53" s="479"/>
      <c r="B53" s="479"/>
      <c r="C53" s="479"/>
      <c r="D53" s="479"/>
      <c r="E53" s="479"/>
      <c r="F53" s="479"/>
      <c r="G53" s="479"/>
      <c r="H53" s="479"/>
      <c r="I53" s="479"/>
      <c r="J53" s="479"/>
      <c r="K53" s="479"/>
      <c r="L53" s="479"/>
      <c r="M53" s="479"/>
      <c r="N53" s="479"/>
      <c r="O53" s="479"/>
      <c r="P53" s="479"/>
      <c r="Q53" s="479"/>
      <c r="R53" s="479"/>
      <c r="S53" s="479"/>
      <c r="T53" s="479"/>
      <c r="U53" s="479"/>
      <c r="V53" s="479"/>
      <c r="W53" s="479"/>
      <c r="X53" s="479"/>
      <c r="Y53" s="479"/>
      <c r="Z53" s="479"/>
      <c r="AA53" s="479"/>
      <c r="AB53" s="479"/>
    </row>
    <row r="54" spans="1:52" ht="45" customHeight="1">
      <c r="A54" s="368"/>
      <c r="B54" s="539" t="s">
        <v>1790</v>
      </c>
      <c r="C54" s="581"/>
      <c r="D54" s="388"/>
      <c r="E54" s="388"/>
      <c r="F54" s="388"/>
      <c r="G54" s="388"/>
      <c r="H54" s="388"/>
      <c r="I54" s="388"/>
      <c r="J54" s="388"/>
      <c r="K54" s="388"/>
      <c r="L54" s="388"/>
      <c r="M54" s="388"/>
      <c r="N54" s="370"/>
      <c r="O54" s="368"/>
      <c r="P54" s="1293" t="s">
        <v>1246</v>
      </c>
      <c r="Q54" s="1293"/>
      <c r="R54" s="1293"/>
      <c r="S54" s="1293"/>
      <c r="T54" s="1293"/>
      <c r="U54" s="1293"/>
      <c r="V54" s="1293"/>
      <c r="W54" s="371"/>
      <c r="X54" s="369"/>
      <c r="Y54" s="369"/>
      <c r="Z54" s="369"/>
      <c r="AA54" s="369"/>
      <c r="AB54" s="521" t="s">
        <v>1149</v>
      </c>
      <c r="AC54" s="577"/>
      <c r="AH54" s="577"/>
      <c r="AI54" s="577"/>
      <c r="AJ54" s="577"/>
      <c r="AK54" s="577"/>
      <c r="AL54" s="577"/>
      <c r="AM54" s="577"/>
      <c r="AN54" s="577"/>
      <c r="AO54" s="577"/>
      <c r="AP54" s="577"/>
      <c r="AQ54" s="577"/>
      <c r="AR54" s="577"/>
      <c r="AS54" s="577"/>
      <c r="AT54" s="577"/>
      <c r="AU54" s="577"/>
      <c r="AV54" s="577"/>
      <c r="AW54" s="577"/>
      <c r="AX54" s="577"/>
      <c r="AY54" s="577"/>
      <c r="AZ54" s="1"/>
    </row>
    <row r="55" spans="1:52" ht="15">
      <c r="A55" s="378"/>
      <c r="B55" s="379"/>
      <c r="C55" s="379"/>
      <c r="D55" s="379"/>
      <c r="E55" s="379"/>
      <c r="F55" s="379"/>
      <c r="G55" s="379"/>
      <c r="H55" s="379"/>
      <c r="I55" s="379"/>
      <c r="J55" s="379"/>
      <c r="K55" s="379"/>
      <c r="L55" s="379"/>
      <c r="M55" s="379"/>
      <c r="N55" s="380"/>
      <c r="O55" s="378"/>
      <c r="P55" s="379"/>
      <c r="Q55" s="379"/>
      <c r="R55" s="379"/>
      <c r="S55" s="379"/>
      <c r="T55" s="379"/>
      <c r="U55" s="379"/>
      <c r="V55" s="379"/>
      <c r="W55" s="379"/>
      <c r="X55" s="379"/>
      <c r="Y55" s="379"/>
      <c r="Z55" s="379"/>
      <c r="AA55" s="379"/>
      <c r="AB55" s="522"/>
      <c r="AC55" s="1"/>
      <c r="AH55" s="1"/>
      <c r="AI55" s="1"/>
      <c r="AJ55" s="1"/>
      <c r="AK55" s="1"/>
      <c r="AL55" s="1"/>
      <c r="AM55" s="1"/>
      <c r="AN55" s="1"/>
      <c r="AO55" s="1"/>
      <c r="AP55" s="1"/>
      <c r="AQ55" s="1"/>
      <c r="AR55" s="1"/>
      <c r="AS55" s="1"/>
      <c r="AT55" s="1"/>
      <c r="AU55" s="1"/>
      <c r="AV55" s="1"/>
      <c r="AW55" s="1"/>
      <c r="AX55" s="1"/>
      <c r="AY55" s="1"/>
      <c r="AZ55" s="1"/>
    </row>
    <row r="56" spans="1:52">
      <c r="A56" s="197"/>
      <c r="B56" s="195"/>
      <c r="C56" s="195"/>
      <c r="D56" s="195"/>
      <c r="E56" s="195"/>
      <c r="F56" s="195"/>
      <c r="G56" s="195"/>
      <c r="H56" s="195"/>
      <c r="I56" s="195"/>
      <c r="J56" s="195"/>
      <c r="K56" s="195"/>
      <c r="L56" s="195"/>
      <c r="M56" s="195"/>
      <c r="N56" s="196"/>
      <c r="O56" s="197"/>
      <c r="P56" s="195"/>
      <c r="Q56" s="195"/>
      <c r="R56" s="195"/>
      <c r="S56" s="195"/>
      <c r="T56" s="195"/>
      <c r="U56" s="195"/>
      <c r="V56" s="195"/>
      <c r="W56" s="195"/>
      <c r="X56" s="195"/>
      <c r="Y56" s="195"/>
      <c r="Z56" s="195"/>
      <c r="AA56" s="195"/>
      <c r="AB56" s="196"/>
      <c r="AC56" s="1"/>
      <c r="AD56" s="1"/>
      <c r="AE56" s="1"/>
      <c r="AF56" s="1"/>
      <c r="AG56" s="1"/>
      <c r="AH56" s="1"/>
      <c r="AI56" s="1"/>
      <c r="AJ56" s="1"/>
      <c r="AK56" s="1"/>
      <c r="AL56" s="1"/>
      <c r="AM56" s="1"/>
      <c r="AN56" s="1"/>
      <c r="AO56" s="1"/>
      <c r="AP56" s="1"/>
      <c r="AQ56" s="1"/>
      <c r="AR56" s="1"/>
      <c r="AS56" s="1"/>
      <c r="AT56" s="1"/>
      <c r="AU56" s="1"/>
      <c r="AV56" s="1"/>
      <c r="AW56" s="1"/>
      <c r="AX56" s="1"/>
      <c r="AY56" s="1"/>
      <c r="AZ56" s="1"/>
    </row>
    <row r="57" spans="1:52" ht="30" customHeight="1">
      <c r="A57" s="197"/>
      <c r="B57" s="195"/>
      <c r="C57" s="195"/>
      <c r="D57" s="195"/>
      <c r="E57" s="195"/>
      <c r="F57" s="195"/>
      <c r="G57" s="195"/>
      <c r="H57" s="195"/>
      <c r="I57" s="195"/>
      <c r="J57" s="195"/>
      <c r="K57" s="195"/>
      <c r="L57" s="195"/>
      <c r="M57" s="195"/>
      <c r="N57" s="196"/>
      <c r="O57" s="197"/>
      <c r="P57" s="195"/>
      <c r="Q57" s="195"/>
      <c r="R57" s="195"/>
      <c r="S57" s="195"/>
      <c r="T57" s="195"/>
      <c r="U57" s="195"/>
      <c r="V57" s="195"/>
      <c r="W57" s="195"/>
      <c r="X57" s="195"/>
      <c r="Y57" s="195"/>
      <c r="Z57" s="195"/>
      <c r="AA57" s="195"/>
      <c r="AB57" s="196"/>
      <c r="AC57" s="1"/>
      <c r="AD57" s="1"/>
      <c r="AE57" s="1"/>
      <c r="AF57" s="1"/>
      <c r="AG57" s="1"/>
      <c r="AH57" s="1"/>
      <c r="AI57" s="1"/>
      <c r="AJ57" s="1"/>
      <c r="AK57" s="1"/>
      <c r="AL57" s="1"/>
      <c r="AM57" s="1"/>
      <c r="AN57" s="1"/>
      <c r="AO57" s="1"/>
      <c r="AP57" s="1"/>
      <c r="AQ57" s="1"/>
      <c r="AR57" s="1"/>
      <c r="AS57" s="1"/>
      <c r="AT57" s="1"/>
      <c r="AU57" s="1"/>
      <c r="AV57" s="1"/>
      <c r="AW57" s="1"/>
      <c r="AX57" s="1"/>
      <c r="AY57" s="1"/>
      <c r="AZ57" s="1"/>
    </row>
    <row r="58" spans="1:52">
      <c r="A58" s="197"/>
      <c r="B58" s="195"/>
      <c r="C58" s="195"/>
      <c r="D58" s="195"/>
      <c r="E58" s="195"/>
      <c r="F58" s="195"/>
      <c r="G58" s="195"/>
      <c r="H58" s="195"/>
      <c r="I58" s="195"/>
      <c r="J58" s="195"/>
      <c r="K58" s="195"/>
      <c r="L58" s="195"/>
      <c r="M58" s="195"/>
      <c r="N58" s="196"/>
      <c r="O58" s="197"/>
      <c r="P58" s="195"/>
      <c r="Q58" s="195"/>
      <c r="R58" s="195"/>
      <c r="S58" s="195"/>
      <c r="T58" s="195"/>
      <c r="U58" s="195"/>
      <c r="V58" s="195"/>
      <c r="W58" s="195"/>
      <c r="X58" s="195"/>
      <c r="Y58" s="195"/>
      <c r="Z58" s="195"/>
      <c r="AA58" s="195"/>
      <c r="AB58" s="196"/>
      <c r="AC58" s="1"/>
      <c r="AD58" s="1"/>
      <c r="AE58" s="1"/>
      <c r="AF58" s="1"/>
      <c r="AG58" s="1"/>
      <c r="AH58" s="1"/>
      <c r="AI58" s="1"/>
      <c r="AJ58" s="1"/>
      <c r="AK58" s="1"/>
      <c r="AL58" s="1"/>
      <c r="AM58" s="1"/>
      <c r="AN58" s="1"/>
      <c r="AO58" s="1"/>
      <c r="AP58" s="1"/>
      <c r="AQ58" s="1"/>
      <c r="AR58" s="1"/>
      <c r="AS58" s="1"/>
      <c r="AT58" s="1"/>
      <c r="AU58" s="1"/>
      <c r="AV58" s="1"/>
      <c r="AW58" s="1"/>
      <c r="AX58" s="1"/>
      <c r="AY58" s="1"/>
      <c r="AZ58" s="1"/>
    </row>
    <row r="59" spans="1:52">
      <c r="A59" s="197"/>
      <c r="B59" s="195"/>
      <c r="C59" s="195"/>
      <c r="D59" s="195"/>
      <c r="E59" s="195"/>
      <c r="F59" s="195"/>
      <c r="G59" s="195"/>
      <c r="H59" s="195"/>
      <c r="I59" s="195"/>
      <c r="J59" s="195"/>
      <c r="K59" s="195"/>
      <c r="L59" s="195"/>
      <c r="M59" s="195"/>
      <c r="N59" s="196"/>
      <c r="O59" s="197"/>
      <c r="P59" s="195"/>
      <c r="Q59" s="195"/>
      <c r="R59" s="195"/>
      <c r="S59" s="195"/>
      <c r="T59" s="195"/>
      <c r="U59" s="195"/>
      <c r="V59" s="195"/>
      <c r="W59" s="195"/>
      <c r="X59" s="195"/>
      <c r="Y59" s="195"/>
      <c r="Z59" s="195"/>
      <c r="AA59" s="195"/>
      <c r="AB59" s="196"/>
      <c r="AC59" s="1"/>
      <c r="AD59" s="1"/>
      <c r="AE59" s="1"/>
      <c r="AF59" s="1"/>
      <c r="AG59" s="1"/>
      <c r="AH59" s="1"/>
      <c r="AI59" s="1"/>
      <c r="AJ59" s="1"/>
      <c r="AK59" s="1"/>
      <c r="AL59" s="1"/>
      <c r="AM59" s="1"/>
      <c r="AN59" s="1"/>
      <c r="AO59" s="1"/>
      <c r="AP59" s="1"/>
      <c r="AQ59" s="1"/>
      <c r="AR59" s="1"/>
      <c r="AS59" s="1"/>
      <c r="AT59" s="1"/>
      <c r="AU59" s="1"/>
      <c r="AV59" s="1"/>
      <c r="AW59" s="1"/>
      <c r="AX59" s="1"/>
      <c r="AY59" s="1"/>
      <c r="AZ59" s="1"/>
    </row>
    <row r="60" spans="1:52">
      <c r="A60" s="197"/>
      <c r="B60" s="195"/>
      <c r="C60" s="195"/>
      <c r="D60" s="195"/>
      <c r="E60" s="195"/>
      <c r="F60" s="195"/>
      <c r="G60" s="195"/>
      <c r="H60" s="195"/>
      <c r="I60" s="195"/>
      <c r="J60" s="195"/>
      <c r="K60" s="195"/>
      <c r="L60" s="195"/>
      <c r="M60" s="195"/>
      <c r="N60" s="196"/>
      <c r="O60" s="197"/>
      <c r="P60" s="195"/>
      <c r="Q60" s="195"/>
      <c r="R60" s="195"/>
      <c r="S60" s="195"/>
      <c r="T60" s="195"/>
      <c r="U60" s="195"/>
      <c r="V60" s="195"/>
      <c r="W60" s="195"/>
      <c r="X60" s="195"/>
      <c r="Y60" s="195"/>
      <c r="Z60" s="195"/>
      <c r="AA60" s="195"/>
      <c r="AB60" s="196"/>
      <c r="AC60" s="1"/>
      <c r="AD60" s="1"/>
      <c r="AE60" s="1"/>
      <c r="AF60" s="1"/>
      <c r="AG60" s="1"/>
      <c r="AH60" s="1"/>
      <c r="AI60" s="1"/>
      <c r="AJ60" s="1"/>
      <c r="AK60" s="1"/>
      <c r="AL60" s="1"/>
      <c r="AM60" s="1"/>
      <c r="AN60" s="1"/>
      <c r="AO60" s="1"/>
      <c r="AP60" s="1"/>
      <c r="AQ60" s="1"/>
      <c r="AR60" s="1"/>
      <c r="AS60" s="1"/>
      <c r="AT60" s="1"/>
      <c r="AU60" s="1"/>
      <c r="AV60" s="1"/>
      <c r="AW60" s="1"/>
      <c r="AX60" s="1"/>
      <c r="AY60" s="1"/>
      <c r="AZ60" s="1"/>
    </row>
    <row r="61" spans="1:52">
      <c r="A61" s="197"/>
      <c r="B61" s="195"/>
      <c r="C61" s="195"/>
      <c r="D61" s="195"/>
      <c r="E61" s="195"/>
      <c r="F61" s="195"/>
      <c r="G61" s="195"/>
      <c r="H61" s="195"/>
      <c r="I61" s="195"/>
      <c r="J61" s="195"/>
      <c r="K61" s="195"/>
      <c r="L61" s="195"/>
      <c r="M61" s="195"/>
      <c r="N61" s="196"/>
      <c r="O61" s="197"/>
      <c r="P61" s="195"/>
      <c r="Q61" s="195"/>
      <c r="R61" s="195"/>
      <c r="S61" s="195"/>
      <c r="T61" s="195"/>
      <c r="U61" s="195"/>
      <c r="V61" s="195"/>
      <c r="W61" s="195"/>
      <c r="X61" s="195"/>
      <c r="Y61" s="195"/>
      <c r="Z61" s="195"/>
      <c r="AA61" s="195"/>
      <c r="AB61" s="196"/>
      <c r="AC61" s="1"/>
      <c r="AD61" s="1"/>
      <c r="AE61" s="1"/>
      <c r="AF61" s="1"/>
      <c r="AG61" s="1"/>
      <c r="AH61" s="1"/>
      <c r="AI61" s="1"/>
      <c r="AJ61" s="1"/>
      <c r="AK61" s="1"/>
      <c r="AL61" s="1"/>
      <c r="AM61" s="1"/>
      <c r="AN61" s="1"/>
      <c r="AO61" s="1"/>
      <c r="AP61" s="1"/>
      <c r="AQ61" s="1"/>
      <c r="AR61" s="1"/>
      <c r="AS61" s="1"/>
      <c r="AT61" s="1"/>
      <c r="AU61" s="1"/>
      <c r="AV61" s="1"/>
      <c r="AW61" s="1"/>
      <c r="AX61" s="1"/>
      <c r="AY61" s="1"/>
      <c r="AZ61" s="1"/>
    </row>
    <row r="62" spans="1:52">
      <c r="A62" s="197"/>
      <c r="B62" s="195"/>
      <c r="C62" s="195"/>
      <c r="D62" s="195"/>
      <c r="E62" s="195"/>
      <c r="F62" s="195"/>
      <c r="G62" s="195"/>
      <c r="H62" s="195"/>
      <c r="I62" s="195"/>
      <c r="J62" s="195"/>
      <c r="K62" s="195"/>
      <c r="L62" s="195"/>
      <c r="M62" s="195"/>
      <c r="N62" s="196"/>
      <c r="O62" s="197"/>
      <c r="P62" s="195"/>
      <c r="Q62" s="195"/>
      <c r="R62" s="195"/>
      <c r="S62" s="195"/>
      <c r="T62" s="195"/>
      <c r="U62" s="195"/>
      <c r="V62" s="195"/>
      <c r="W62" s="195"/>
      <c r="X62" s="195"/>
      <c r="Y62" s="195"/>
      <c r="Z62" s="195"/>
      <c r="AA62" s="195"/>
      <c r="AB62" s="196"/>
      <c r="AC62" s="1"/>
      <c r="AD62" s="1"/>
      <c r="AE62" s="1"/>
      <c r="AF62" s="1"/>
      <c r="AG62" s="1"/>
      <c r="AH62" s="1"/>
      <c r="AI62" s="1"/>
      <c r="AJ62" s="1"/>
      <c r="AK62" s="1"/>
      <c r="AL62" s="1"/>
      <c r="AM62" s="1"/>
      <c r="AN62" s="1"/>
      <c r="AO62" s="1"/>
      <c r="AP62" s="1"/>
      <c r="AQ62" s="1"/>
      <c r="AR62" s="1"/>
      <c r="AS62" s="1"/>
      <c r="AT62" s="1"/>
      <c r="AU62" s="1"/>
      <c r="AV62" s="1"/>
      <c r="AW62" s="1"/>
      <c r="AX62" s="1"/>
      <c r="AY62" s="1"/>
      <c r="AZ62" s="1"/>
    </row>
    <row r="63" spans="1:52">
      <c r="A63" s="197"/>
      <c r="B63" s="195"/>
      <c r="C63" s="195"/>
      <c r="D63" s="195"/>
      <c r="E63" s="195"/>
      <c r="F63" s="195"/>
      <c r="G63" s="195"/>
      <c r="H63" s="195"/>
      <c r="I63" s="195"/>
      <c r="J63" s="195"/>
      <c r="K63" s="195"/>
      <c r="L63" s="195"/>
      <c r="M63" s="195"/>
      <c r="N63" s="196"/>
      <c r="O63" s="197"/>
      <c r="P63" s="195"/>
      <c r="Q63" s="195"/>
      <c r="R63" s="195"/>
      <c r="S63" s="195"/>
      <c r="T63" s="195"/>
      <c r="U63" s="195"/>
      <c r="V63" s="195"/>
      <c r="W63" s="195"/>
      <c r="X63" s="195"/>
      <c r="Y63" s="195"/>
      <c r="Z63" s="195"/>
      <c r="AA63" s="195"/>
      <c r="AB63" s="196"/>
      <c r="AC63" s="1"/>
      <c r="AD63" s="1"/>
      <c r="AE63" s="1"/>
      <c r="AF63" s="1"/>
      <c r="AG63" s="1"/>
      <c r="AH63" s="1"/>
      <c r="AI63" s="1"/>
      <c r="AJ63" s="1"/>
      <c r="AK63" s="1"/>
      <c r="AL63" s="1"/>
      <c r="AM63" s="1"/>
      <c r="AN63" s="1"/>
      <c r="AO63" s="1"/>
      <c r="AP63" s="1"/>
      <c r="AQ63" s="1"/>
      <c r="AR63" s="1"/>
      <c r="AS63" s="1"/>
      <c r="AT63" s="1"/>
      <c r="AU63" s="1"/>
      <c r="AV63" s="1"/>
      <c r="AW63" s="1"/>
      <c r="AX63" s="1"/>
      <c r="AY63" s="1"/>
      <c r="AZ63" s="1"/>
    </row>
    <row r="64" spans="1:52">
      <c r="A64" s="197"/>
      <c r="B64" s="195"/>
      <c r="C64" s="195"/>
      <c r="D64" s="195"/>
      <c r="E64" s="195"/>
      <c r="F64" s="195"/>
      <c r="G64" s="195"/>
      <c r="H64" s="195"/>
      <c r="I64" s="195"/>
      <c r="J64" s="195"/>
      <c r="K64" s="195"/>
      <c r="L64" s="195"/>
      <c r="M64" s="195"/>
      <c r="N64" s="196"/>
      <c r="O64" s="197"/>
      <c r="P64" s="195"/>
      <c r="Q64" s="195"/>
      <c r="R64" s="195"/>
      <c r="S64" s="195"/>
      <c r="T64" s="195"/>
      <c r="U64" s="195"/>
      <c r="V64" s="195"/>
      <c r="W64" s="195"/>
      <c r="X64" s="195"/>
      <c r="Y64" s="195"/>
      <c r="Z64" s="195"/>
      <c r="AA64" s="195"/>
      <c r="AB64" s="196"/>
      <c r="AC64" s="1"/>
      <c r="AD64" s="1"/>
      <c r="AE64" s="1"/>
      <c r="AF64" s="1"/>
      <c r="AG64" s="1"/>
      <c r="AH64" s="1"/>
      <c r="AI64" s="1"/>
      <c r="AJ64" s="1"/>
      <c r="AK64" s="1"/>
      <c r="AL64" s="1"/>
      <c r="AM64" s="1"/>
      <c r="AN64" s="1"/>
      <c r="AO64" s="1"/>
      <c r="AP64" s="1"/>
      <c r="AQ64" s="1"/>
      <c r="AR64" s="1"/>
      <c r="AS64" s="1"/>
      <c r="AT64" s="1"/>
      <c r="AU64" s="1"/>
      <c r="AV64" s="1"/>
      <c r="AW64" s="1"/>
      <c r="AX64" s="1"/>
      <c r="AY64" s="1"/>
      <c r="AZ64" s="1"/>
    </row>
    <row r="65" spans="1:52">
      <c r="A65" s="197"/>
      <c r="B65" s="195"/>
      <c r="C65" s="195"/>
      <c r="D65" s="195"/>
      <c r="E65" s="195"/>
      <c r="F65" s="195"/>
      <c r="G65" s="195"/>
      <c r="H65" s="195"/>
      <c r="I65" s="195"/>
      <c r="J65" s="195"/>
      <c r="K65" s="195"/>
      <c r="L65" s="195"/>
      <c r="M65" s="195"/>
      <c r="N65" s="196"/>
      <c r="O65" s="197"/>
      <c r="P65" s="195"/>
      <c r="Q65" s="195"/>
      <c r="R65" s="195"/>
      <c r="S65" s="195"/>
      <c r="T65" s="195"/>
      <c r="U65" s="195"/>
      <c r="V65" s="195"/>
      <c r="W65" s="195"/>
      <c r="X65" s="195"/>
      <c r="Y65" s="195"/>
      <c r="Z65" s="195"/>
      <c r="AA65" s="195"/>
      <c r="AB65" s="196"/>
      <c r="AC65" s="1"/>
      <c r="AD65" s="1"/>
      <c r="AE65" s="1"/>
      <c r="AF65" s="1"/>
      <c r="AG65" s="1"/>
      <c r="AH65" s="1"/>
      <c r="AI65" s="1"/>
      <c r="AJ65" s="1"/>
      <c r="AK65" s="1"/>
      <c r="AL65" s="1"/>
      <c r="AM65" s="1"/>
      <c r="AN65" s="1"/>
      <c r="AO65" s="1"/>
      <c r="AP65" s="1"/>
      <c r="AQ65" s="1"/>
      <c r="AR65" s="1"/>
      <c r="AS65" s="1"/>
      <c r="AT65" s="1"/>
      <c r="AU65" s="1"/>
      <c r="AV65" s="1"/>
      <c r="AW65" s="1"/>
      <c r="AX65" s="1"/>
      <c r="AY65" s="1"/>
      <c r="AZ65" s="1"/>
    </row>
    <row r="66" spans="1:52" ht="30" customHeight="1">
      <c r="A66" s="197"/>
      <c r="B66" s="195"/>
      <c r="C66" s="195"/>
      <c r="D66" s="195"/>
      <c r="E66" s="195"/>
      <c r="F66" s="195"/>
      <c r="G66" s="195"/>
      <c r="H66" s="195"/>
      <c r="I66" s="195"/>
      <c r="J66" s="195"/>
      <c r="K66" s="195"/>
      <c r="L66" s="195"/>
      <c r="M66" s="195"/>
      <c r="N66" s="196"/>
      <c r="O66" s="197"/>
      <c r="P66" s="195"/>
      <c r="Q66" s="195"/>
      <c r="R66" s="195"/>
      <c r="S66" s="195"/>
      <c r="T66" s="195"/>
      <c r="U66" s="195"/>
      <c r="V66" s="195"/>
      <c r="W66" s="195"/>
      <c r="X66" s="195"/>
      <c r="Y66" s="195"/>
      <c r="Z66" s="195"/>
      <c r="AA66" s="195"/>
      <c r="AB66" s="196"/>
      <c r="AC66" s="1"/>
      <c r="AD66" s="1"/>
      <c r="AE66" s="1"/>
      <c r="AF66" s="1"/>
      <c r="AG66" s="1"/>
      <c r="AH66" s="1"/>
      <c r="AI66" s="1"/>
      <c r="AJ66" s="1"/>
      <c r="AK66" s="1"/>
      <c r="AL66" s="1"/>
      <c r="AM66" s="1"/>
      <c r="AN66" s="1"/>
      <c r="AO66" s="1"/>
      <c r="AP66" s="1"/>
      <c r="AQ66" s="1"/>
      <c r="AR66" s="1"/>
      <c r="AS66" s="1"/>
      <c r="AT66" s="1"/>
      <c r="AU66" s="1"/>
      <c r="AV66" s="1"/>
      <c r="AW66" s="1"/>
      <c r="AX66" s="1"/>
      <c r="AY66" s="1"/>
      <c r="AZ66" s="1"/>
    </row>
    <row r="67" spans="1:52">
      <c r="A67" s="197"/>
      <c r="B67" s="195"/>
      <c r="C67" s="195"/>
      <c r="D67" s="195"/>
      <c r="E67" s="195"/>
      <c r="F67" s="195"/>
      <c r="G67" s="195"/>
      <c r="H67" s="195"/>
      <c r="I67" s="195"/>
      <c r="J67" s="195"/>
      <c r="K67" s="195"/>
      <c r="L67" s="195"/>
      <c r="M67" s="195"/>
      <c r="N67" s="196"/>
      <c r="O67" s="197"/>
      <c r="P67" s="195"/>
      <c r="Q67" s="195"/>
      <c r="R67" s="195"/>
      <c r="S67" s="195"/>
      <c r="T67" s="195"/>
      <c r="U67" s="195"/>
      <c r="V67" s="195"/>
      <c r="W67" s="195"/>
      <c r="X67" s="195"/>
      <c r="Y67" s="195"/>
      <c r="Z67" s="195"/>
      <c r="AA67" s="195"/>
      <c r="AB67" s="196"/>
      <c r="AC67" s="1"/>
      <c r="AD67" s="1"/>
      <c r="AE67" s="1"/>
      <c r="AF67" s="1"/>
      <c r="AG67" s="1"/>
      <c r="AH67" s="1"/>
      <c r="AI67" s="1"/>
      <c r="AJ67" s="1"/>
      <c r="AK67" s="1"/>
      <c r="AL67" s="1"/>
      <c r="AM67" s="1"/>
      <c r="AN67" s="1"/>
      <c r="AO67" s="1"/>
      <c r="AP67" s="1"/>
      <c r="AQ67" s="1"/>
      <c r="AR67" s="1"/>
      <c r="AS67" s="1"/>
      <c r="AT67" s="1"/>
      <c r="AU67" s="1"/>
      <c r="AV67" s="1"/>
      <c r="AW67" s="1"/>
      <c r="AX67" s="1"/>
      <c r="AY67" s="1"/>
      <c r="AZ67" s="1"/>
    </row>
    <row r="68" spans="1:52">
      <c r="A68" s="197"/>
      <c r="B68" s="195"/>
      <c r="C68" s="195"/>
      <c r="D68" s="195"/>
      <c r="E68" s="195"/>
      <c r="F68" s="195"/>
      <c r="G68" s="195"/>
      <c r="H68" s="195"/>
      <c r="I68" s="195"/>
      <c r="J68" s="195"/>
      <c r="K68" s="195"/>
      <c r="L68" s="195"/>
      <c r="M68" s="195"/>
      <c r="N68" s="196"/>
      <c r="O68" s="197"/>
      <c r="P68" s="195"/>
      <c r="Q68" s="195"/>
      <c r="R68" s="195"/>
      <c r="S68" s="195"/>
      <c r="T68" s="195"/>
      <c r="U68" s="195"/>
      <c r="V68" s="195"/>
      <c r="W68" s="195"/>
      <c r="X68" s="195"/>
      <c r="Y68" s="195"/>
      <c r="Z68" s="195"/>
      <c r="AA68" s="195"/>
      <c r="AB68" s="196"/>
      <c r="AC68" s="1"/>
      <c r="AD68" s="1"/>
      <c r="AE68" s="1"/>
      <c r="AF68" s="1"/>
      <c r="AG68" s="1"/>
      <c r="AH68" s="1"/>
      <c r="AI68" s="1"/>
      <c r="AJ68" s="1"/>
      <c r="AK68" s="1"/>
      <c r="AL68" s="1"/>
      <c r="AM68" s="1"/>
      <c r="AN68" s="1"/>
      <c r="AO68" s="1"/>
      <c r="AP68" s="1"/>
      <c r="AQ68" s="1"/>
      <c r="AR68" s="1"/>
      <c r="AS68" s="1"/>
      <c r="AT68" s="1"/>
      <c r="AU68" s="1"/>
      <c r="AV68" s="1"/>
      <c r="AW68" s="1"/>
      <c r="AX68" s="1"/>
      <c r="AY68" s="1"/>
      <c r="AZ68" s="1"/>
    </row>
    <row r="69" spans="1:52" ht="19.95" customHeight="1">
      <c r="A69" s="197"/>
      <c r="B69" s="195"/>
      <c r="C69" s="195"/>
      <c r="D69" s="195"/>
      <c r="E69" s="195"/>
      <c r="F69" s="195"/>
      <c r="G69" s="195"/>
      <c r="H69" s="195"/>
      <c r="I69" s="195"/>
      <c r="J69" s="195"/>
      <c r="K69" s="195"/>
      <c r="L69" s="195"/>
      <c r="M69" s="195"/>
      <c r="N69" s="196"/>
      <c r="O69" s="197"/>
      <c r="P69" s="195"/>
      <c r="Q69" s="195"/>
      <c r="R69" s="195"/>
      <c r="S69" s="195"/>
      <c r="T69" s="195"/>
      <c r="U69" s="195"/>
      <c r="V69" s="195"/>
      <c r="W69" s="195"/>
      <c r="X69" s="195"/>
      <c r="Y69" s="195"/>
      <c r="Z69" s="195"/>
      <c r="AA69" s="195"/>
      <c r="AB69" s="196"/>
      <c r="AC69" s="1"/>
      <c r="AD69" s="1"/>
      <c r="AE69" s="1"/>
      <c r="AF69" s="1"/>
      <c r="AG69" s="1"/>
      <c r="AH69" s="1"/>
      <c r="AI69" s="1"/>
      <c r="AJ69" s="1"/>
      <c r="AK69" s="1"/>
      <c r="AL69" s="1"/>
      <c r="AM69" s="1"/>
      <c r="AN69" s="1"/>
      <c r="AO69" s="1"/>
      <c r="AP69" s="1"/>
      <c r="AQ69" s="1"/>
      <c r="AR69" s="1"/>
      <c r="AS69" s="1"/>
      <c r="AT69" s="1"/>
      <c r="AU69" s="1"/>
      <c r="AV69" s="1"/>
      <c r="AW69" s="1"/>
      <c r="AX69" s="1"/>
      <c r="AY69" s="1"/>
      <c r="AZ69" s="1"/>
    </row>
    <row r="70" spans="1:52" ht="19.95" customHeight="1">
      <c r="A70" s="197"/>
      <c r="B70" s="195"/>
      <c r="C70" s="195"/>
      <c r="D70" s="195"/>
      <c r="E70" s="195"/>
      <c r="F70" s="195"/>
      <c r="G70" s="195"/>
      <c r="H70" s="195"/>
      <c r="I70" s="195"/>
      <c r="J70" s="195"/>
      <c r="K70" s="195"/>
      <c r="L70" s="195"/>
      <c r="M70" s="195"/>
      <c r="N70" s="196"/>
      <c r="O70" s="197"/>
      <c r="P70" s="195"/>
      <c r="Q70" s="195"/>
      <c r="R70" s="195"/>
      <c r="S70" s="195"/>
      <c r="T70" s="195"/>
      <c r="U70" s="195"/>
      <c r="V70" s="195"/>
      <c r="W70" s="195"/>
      <c r="X70" s="195"/>
      <c r="Y70" s="195"/>
      <c r="Z70" s="195"/>
      <c r="AA70" s="195"/>
      <c r="AB70" s="196"/>
      <c r="AC70" s="1"/>
      <c r="AD70" s="1"/>
      <c r="AE70" s="1"/>
      <c r="AF70" s="1"/>
      <c r="AG70" s="1"/>
      <c r="AH70" s="1"/>
      <c r="AI70" s="1"/>
      <c r="AJ70" s="1"/>
      <c r="AK70" s="1"/>
      <c r="AL70" s="1"/>
      <c r="AM70" s="1"/>
      <c r="AN70" s="1"/>
      <c r="AO70" s="1"/>
      <c r="AP70" s="1"/>
      <c r="AQ70" s="1"/>
      <c r="AR70" s="1"/>
      <c r="AS70" s="1"/>
      <c r="AT70" s="1"/>
      <c r="AU70" s="1"/>
      <c r="AV70" s="1"/>
      <c r="AW70" s="1"/>
      <c r="AX70" s="1"/>
      <c r="AY70" s="1"/>
      <c r="AZ70" s="1"/>
    </row>
    <row r="71" spans="1:52" ht="19.95" customHeight="1">
      <c r="A71" s="197"/>
      <c r="B71" s="195"/>
      <c r="C71" s="195"/>
      <c r="D71" s="195"/>
      <c r="E71" s="195"/>
      <c r="F71" s="195"/>
      <c r="G71" s="195"/>
      <c r="H71" s="195"/>
      <c r="I71" s="195"/>
      <c r="J71" s="195"/>
      <c r="K71" s="195"/>
      <c r="L71" s="195"/>
      <c r="M71" s="195"/>
      <c r="N71" s="196"/>
      <c r="O71" s="197"/>
      <c r="P71" s="195"/>
      <c r="Q71" s="195"/>
      <c r="R71" s="195"/>
      <c r="S71" s="195"/>
      <c r="T71" s="195"/>
      <c r="U71" s="195"/>
      <c r="V71" s="195"/>
      <c r="W71" s="195"/>
      <c r="X71" s="195"/>
      <c r="Y71" s="195"/>
      <c r="Z71" s="195"/>
      <c r="AA71" s="195"/>
      <c r="AB71" s="196"/>
      <c r="AC71" s="1"/>
      <c r="AD71" s="1"/>
      <c r="AE71" s="1"/>
      <c r="AF71" s="1"/>
      <c r="AG71" s="1"/>
      <c r="AH71" s="1"/>
      <c r="AI71" s="1"/>
      <c r="AJ71" s="1"/>
      <c r="AK71" s="1"/>
      <c r="AL71" s="1"/>
      <c r="AM71" s="1"/>
      <c r="AN71" s="1"/>
      <c r="AO71" s="1"/>
      <c r="AP71" s="1"/>
      <c r="AQ71" s="1"/>
      <c r="AR71" s="1"/>
      <c r="AS71" s="1"/>
      <c r="AT71" s="1"/>
      <c r="AU71" s="1"/>
      <c r="AV71" s="1"/>
      <c r="AW71" s="1"/>
      <c r="AX71" s="1"/>
      <c r="AY71" s="1"/>
      <c r="AZ71" s="1"/>
    </row>
    <row r="72" spans="1:52" ht="19.95" customHeight="1">
      <c r="A72" s="197"/>
      <c r="B72" s="195"/>
      <c r="C72" s="195"/>
      <c r="D72" s="195"/>
      <c r="E72" s="195"/>
      <c r="F72" s="195"/>
      <c r="G72" s="195"/>
      <c r="H72" s="195"/>
      <c r="I72" s="195"/>
      <c r="J72" s="195"/>
      <c r="K72" s="195"/>
      <c r="L72" s="195"/>
      <c r="M72" s="195"/>
      <c r="N72" s="196"/>
      <c r="O72" s="197"/>
      <c r="P72" s="195"/>
      <c r="Q72" s="195"/>
      <c r="R72" s="195"/>
      <c r="S72" s="195"/>
      <c r="T72" s="195"/>
      <c r="U72" s="195"/>
      <c r="V72" s="195"/>
      <c r="W72" s="195"/>
      <c r="X72" s="195"/>
      <c r="Y72" s="195"/>
      <c r="Z72" s="195"/>
      <c r="AA72" s="195"/>
      <c r="AB72" s="196"/>
      <c r="AC72" s="1"/>
      <c r="AD72" s="1"/>
      <c r="AE72" s="1"/>
      <c r="AF72" s="1"/>
      <c r="AG72" s="1"/>
      <c r="AH72" s="1"/>
      <c r="AI72" s="1"/>
      <c r="AJ72" s="1"/>
      <c r="AK72" s="1"/>
      <c r="AL72" s="1"/>
      <c r="AM72" s="1"/>
      <c r="AN72" s="1"/>
      <c r="AO72" s="1"/>
      <c r="AP72" s="1"/>
      <c r="AQ72" s="1"/>
      <c r="AR72" s="1"/>
      <c r="AS72" s="1"/>
      <c r="AT72" s="1"/>
      <c r="AU72" s="1"/>
      <c r="AV72" s="1"/>
      <c r="AW72" s="1"/>
      <c r="AX72" s="1"/>
      <c r="AY72" s="1"/>
      <c r="AZ72" s="1"/>
    </row>
    <row r="73" spans="1:52" ht="19.95" customHeight="1">
      <c r="A73" s="197"/>
      <c r="B73" s="195"/>
      <c r="C73" s="195"/>
      <c r="D73" s="195"/>
      <c r="E73" s="195"/>
      <c r="F73" s="195"/>
      <c r="G73" s="195"/>
      <c r="H73" s="195"/>
      <c r="I73" s="195"/>
      <c r="J73" s="195"/>
      <c r="K73" s="195"/>
      <c r="L73" s="195"/>
      <c r="M73" s="195"/>
      <c r="N73" s="196"/>
      <c r="O73" s="197"/>
      <c r="P73" s="195"/>
      <c r="Q73" s="195"/>
      <c r="R73" s="195"/>
      <c r="S73" s="195"/>
      <c r="T73" s="195"/>
      <c r="U73" s="195"/>
      <c r="V73" s="195"/>
      <c r="W73" s="195"/>
      <c r="X73" s="195"/>
      <c r="Y73" s="195"/>
      <c r="Z73" s="195"/>
      <c r="AA73" s="195"/>
      <c r="AB73" s="196"/>
      <c r="AC73" s="1"/>
      <c r="AD73" s="1"/>
      <c r="AE73" s="1"/>
      <c r="AF73" s="1"/>
      <c r="AG73" s="1"/>
      <c r="AH73" s="1"/>
      <c r="AI73" s="1"/>
      <c r="AJ73" s="1"/>
      <c r="AK73" s="1"/>
      <c r="AL73" s="1"/>
      <c r="AM73" s="1"/>
      <c r="AN73" s="1"/>
      <c r="AO73" s="1"/>
      <c r="AP73" s="1"/>
      <c r="AQ73" s="1"/>
      <c r="AR73" s="1"/>
      <c r="AS73" s="1"/>
      <c r="AT73" s="1"/>
      <c r="AU73" s="1"/>
      <c r="AV73" s="1"/>
      <c r="AW73" s="1"/>
      <c r="AX73" s="1"/>
      <c r="AY73" s="1"/>
      <c r="AZ73" s="1"/>
    </row>
    <row r="74" spans="1:52" ht="19.95" customHeight="1">
      <c r="A74" s="197"/>
      <c r="B74" s="195"/>
      <c r="C74" s="195"/>
      <c r="D74" s="195"/>
      <c r="E74" s="195"/>
      <c r="F74" s="195"/>
      <c r="G74" s="195"/>
      <c r="H74" s="195"/>
      <c r="I74" s="195"/>
      <c r="J74" s="195"/>
      <c r="K74" s="195"/>
      <c r="L74" s="195"/>
      <c r="M74" s="195"/>
      <c r="N74" s="196"/>
      <c r="O74" s="197"/>
      <c r="P74" s="195"/>
      <c r="Q74" s="195"/>
      <c r="R74" s="195"/>
      <c r="S74" s="195"/>
      <c r="T74" s="195"/>
      <c r="U74" s="195"/>
      <c r="V74" s="195"/>
      <c r="W74" s="195"/>
      <c r="X74" s="195"/>
      <c r="Y74" s="195"/>
      <c r="Z74" s="195"/>
      <c r="AA74" s="195"/>
      <c r="AB74" s="196"/>
      <c r="AC74" s="1"/>
      <c r="AD74" s="1"/>
      <c r="AE74" s="1"/>
      <c r="AF74" s="1"/>
      <c r="AG74" s="1"/>
      <c r="AH74" s="1"/>
      <c r="AI74" s="1"/>
      <c r="AJ74" s="1"/>
      <c r="AK74" s="1"/>
      <c r="AL74" s="1"/>
      <c r="AM74" s="1"/>
      <c r="AN74" s="1"/>
      <c r="AO74" s="1"/>
      <c r="AP74" s="1"/>
      <c r="AQ74" s="1"/>
      <c r="AR74" s="1"/>
      <c r="AS74" s="1"/>
      <c r="AT74" s="1"/>
      <c r="AU74" s="1"/>
      <c r="AV74" s="1"/>
      <c r="AW74" s="1"/>
      <c r="AX74" s="1"/>
      <c r="AY74" s="1"/>
      <c r="AZ74" s="1"/>
    </row>
    <row r="75" spans="1:52" ht="19.95" customHeight="1">
      <c r="A75" s="197"/>
      <c r="B75" s="195"/>
      <c r="C75" s="195"/>
      <c r="D75" s="195"/>
      <c r="E75" s="195"/>
      <c r="F75" s="195"/>
      <c r="G75" s="195"/>
      <c r="H75" s="195"/>
      <c r="I75" s="195"/>
      <c r="J75" s="195"/>
      <c r="K75" s="195"/>
      <c r="L75" s="195"/>
      <c r="M75" s="195"/>
      <c r="N75" s="196"/>
      <c r="O75" s="197"/>
      <c r="P75" s="195"/>
      <c r="Q75" s="195"/>
      <c r="R75" s="195"/>
      <c r="S75" s="195"/>
      <c r="T75" s="195"/>
      <c r="U75" s="195"/>
      <c r="V75" s="195"/>
      <c r="W75" s="195"/>
      <c r="X75" s="195"/>
      <c r="Y75" s="195"/>
      <c r="Z75" s="195"/>
      <c r="AA75" s="195"/>
      <c r="AB75" s="196"/>
      <c r="AC75" s="1"/>
      <c r="AD75" s="1"/>
      <c r="AE75" s="1"/>
      <c r="AF75" s="1"/>
      <c r="AG75" s="1"/>
      <c r="AH75" s="1"/>
      <c r="AI75" s="1"/>
      <c r="AJ75" s="1"/>
      <c r="AK75" s="1"/>
      <c r="AL75" s="1"/>
      <c r="AM75" s="1"/>
      <c r="AN75" s="1"/>
      <c r="AO75" s="1"/>
      <c r="AP75" s="1"/>
      <c r="AQ75" s="1"/>
      <c r="AR75" s="1"/>
      <c r="AS75" s="1"/>
      <c r="AT75" s="1"/>
      <c r="AU75" s="1"/>
      <c r="AV75" s="1"/>
      <c r="AW75" s="1"/>
      <c r="AX75" s="1"/>
      <c r="AY75" s="1"/>
      <c r="AZ75" s="1"/>
    </row>
    <row r="76" spans="1:52" ht="19.95" customHeight="1">
      <c r="A76" s="197"/>
      <c r="B76" s="195"/>
      <c r="C76" s="195"/>
      <c r="D76" s="195"/>
      <c r="E76" s="195"/>
      <c r="F76" s="195"/>
      <c r="G76" s="195"/>
      <c r="H76" s="195"/>
      <c r="I76" s="195"/>
      <c r="J76" s="195"/>
      <c r="K76" s="195"/>
      <c r="L76" s="195"/>
      <c r="M76" s="195"/>
      <c r="N76" s="196"/>
      <c r="O76" s="197"/>
      <c r="P76" s="195"/>
      <c r="Q76" s="195"/>
      <c r="R76" s="195"/>
      <c r="S76" s="195"/>
      <c r="T76" s="195"/>
      <c r="U76" s="195"/>
      <c r="V76" s="195"/>
      <c r="W76" s="195"/>
      <c r="X76" s="195"/>
      <c r="Y76" s="195"/>
      <c r="Z76" s="195"/>
      <c r="AA76" s="195"/>
      <c r="AB76" s="196"/>
      <c r="AC76" s="1"/>
      <c r="AD76" s="1"/>
      <c r="AE76" s="1"/>
      <c r="AF76" s="1"/>
      <c r="AG76" s="1"/>
      <c r="AH76" s="1"/>
      <c r="AI76" s="1"/>
      <c r="AJ76" s="1"/>
      <c r="AK76" s="1"/>
      <c r="AL76" s="1"/>
      <c r="AM76" s="1"/>
      <c r="AN76" s="1"/>
      <c r="AO76" s="1"/>
      <c r="AP76" s="1"/>
      <c r="AQ76" s="1"/>
      <c r="AR76" s="1"/>
      <c r="AS76" s="1"/>
      <c r="AT76" s="1"/>
      <c r="AU76" s="1"/>
      <c r="AV76" s="1"/>
      <c r="AW76" s="1"/>
      <c r="AX76" s="1"/>
      <c r="AY76" s="1"/>
      <c r="AZ76" s="1"/>
    </row>
    <row r="77" spans="1:52" ht="19.95" customHeight="1">
      <c r="A77" s="197"/>
      <c r="B77" s="195"/>
      <c r="C77" s="195"/>
      <c r="D77" s="195"/>
      <c r="E77" s="195"/>
      <c r="F77" s="195"/>
      <c r="G77" s="195"/>
      <c r="H77" s="195"/>
      <c r="I77" s="195"/>
      <c r="J77" s="195"/>
      <c r="K77" s="195"/>
      <c r="L77" s="195"/>
      <c r="M77" s="195"/>
      <c r="N77" s="196"/>
      <c r="O77" s="197"/>
      <c r="P77" s="195"/>
      <c r="Q77" s="195"/>
      <c r="R77" s="195"/>
      <c r="S77" s="195"/>
      <c r="T77" s="195"/>
      <c r="U77" s="195"/>
      <c r="V77" s="195"/>
      <c r="W77" s="195"/>
      <c r="X77" s="195"/>
      <c r="Y77" s="195"/>
      <c r="Z77" s="195"/>
      <c r="AA77" s="195"/>
      <c r="AB77" s="196"/>
      <c r="AC77" s="1"/>
      <c r="AD77" s="1"/>
      <c r="AE77" s="1"/>
      <c r="AF77" s="1"/>
      <c r="AG77" s="1"/>
      <c r="AH77" s="1"/>
      <c r="AI77" s="1"/>
      <c r="AJ77" s="1"/>
      <c r="AK77" s="1"/>
      <c r="AL77" s="1"/>
      <c r="AM77" s="1"/>
      <c r="AN77" s="1"/>
      <c r="AO77" s="1"/>
      <c r="AP77" s="1"/>
      <c r="AQ77" s="1"/>
      <c r="AR77" s="1"/>
      <c r="AS77" s="1"/>
      <c r="AT77" s="1"/>
      <c r="AU77" s="1"/>
      <c r="AV77" s="1"/>
      <c r="AW77" s="1"/>
      <c r="AX77" s="1"/>
      <c r="AY77" s="1"/>
      <c r="AZ77" s="1"/>
    </row>
    <row r="78" spans="1:52" ht="19.95" customHeight="1">
      <c r="A78" s="197"/>
      <c r="B78" s="195"/>
      <c r="C78" s="195"/>
      <c r="D78" s="195"/>
      <c r="E78" s="195"/>
      <c r="F78" s="195"/>
      <c r="G78" s="195"/>
      <c r="H78" s="195"/>
      <c r="I78" s="195"/>
      <c r="J78" s="195"/>
      <c r="K78" s="195"/>
      <c r="L78" s="195"/>
      <c r="M78" s="195"/>
      <c r="N78" s="196"/>
      <c r="O78" s="197"/>
      <c r="P78" s="195"/>
      <c r="Q78" s="195"/>
      <c r="R78" s="195"/>
      <c r="S78" s="195"/>
      <c r="T78" s="195"/>
      <c r="U78" s="195"/>
      <c r="V78" s="195"/>
      <c r="W78" s="195"/>
      <c r="X78" s="195"/>
      <c r="Y78" s="195"/>
      <c r="Z78" s="195"/>
      <c r="AA78" s="195"/>
      <c r="AB78" s="196"/>
      <c r="AC78" s="1"/>
      <c r="AD78" s="1"/>
      <c r="AE78" s="1"/>
      <c r="AF78" s="1"/>
      <c r="AG78" s="1"/>
      <c r="AH78" s="1"/>
      <c r="AI78" s="1"/>
      <c r="AJ78" s="1"/>
      <c r="AK78" s="1"/>
      <c r="AL78" s="1"/>
      <c r="AM78" s="1"/>
      <c r="AN78" s="1"/>
      <c r="AO78" s="1"/>
      <c r="AP78" s="1"/>
      <c r="AQ78" s="1"/>
      <c r="AR78" s="1"/>
      <c r="AS78" s="1"/>
      <c r="AT78" s="1"/>
      <c r="AU78" s="1"/>
      <c r="AV78" s="1"/>
      <c r="AW78" s="1"/>
      <c r="AX78" s="1"/>
      <c r="AY78" s="1"/>
      <c r="AZ78" s="1"/>
    </row>
    <row r="79" spans="1:52" ht="19.95" customHeight="1">
      <c r="A79" s="197"/>
      <c r="B79" s="195"/>
      <c r="C79" s="195"/>
      <c r="D79" s="195"/>
      <c r="E79" s="195"/>
      <c r="F79" s="195"/>
      <c r="G79" s="195"/>
      <c r="H79" s="195"/>
      <c r="I79" s="195"/>
      <c r="J79" s="195"/>
      <c r="K79" s="195"/>
      <c r="L79" s="195"/>
      <c r="M79" s="195"/>
      <c r="N79" s="196"/>
      <c r="O79" s="197"/>
      <c r="P79" s="195"/>
      <c r="Q79" s="195"/>
      <c r="R79" s="195"/>
      <c r="S79" s="195"/>
      <c r="T79" s="195"/>
      <c r="U79" s="195"/>
      <c r="V79" s="195"/>
      <c r="W79" s="195"/>
      <c r="X79" s="195"/>
      <c r="Y79" s="195"/>
      <c r="Z79" s="195"/>
      <c r="AA79" s="195"/>
      <c r="AB79" s="196"/>
      <c r="AC79" s="1"/>
      <c r="AD79" s="1"/>
      <c r="AE79" s="1"/>
      <c r="AF79" s="1"/>
      <c r="AG79" s="1"/>
      <c r="AH79" s="1"/>
      <c r="AI79" s="1"/>
      <c r="AJ79" s="1"/>
      <c r="AK79" s="1"/>
      <c r="AL79" s="1"/>
      <c r="AM79" s="1"/>
      <c r="AN79" s="1"/>
      <c r="AO79" s="1"/>
      <c r="AP79" s="1"/>
      <c r="AQ79" s="1"/>
      <c r="AR79" s="1"/>
      <c r="AS79" s="1"/>
      <c r="AT79" s="1"/>
      <c r="AU79" s="1"/>
      <c r="AV79" s="1"/>
      <c r="AW79" s="1"/>
      <c r="AX79" s="1"/>
      <c r="AY79" s="1"/>
      <c r="AZ79" s="1"/>
    </row>
    <row r="80" spans="1:52" ht="19.95" customHeight="1">
      <c r="A80" s="197"/>
      <c r="B80" s="195"/>
      <c r="C80" s="195"/>
      <c r="D80" s="195"/>
      <c r="E80" s="195"/>
      <c r="F80" s="195"/>
      <c r="G80" s="195"/>
      <c r="H80" s="195"/>
      <c r="I80" s="195"/>
      <c r="J80" s="195"/>
      <c r="K80" s="195"/>
      <c r="L80" s="195"/>
      <c r="M80" s="195"/>
      <c r="N80" s="196"/>
      <c r="O80" s="197"/>
      <c r="P80" s="195"/>
      <c r="Q80" s="195"/>
      <c r="R80" s="195"/>
      <c r="S80" s="195"/>
      <c r="T80" s="195"/>
      <c r="U80" s="195"/>
      <c r="V80" s="195"/>
      <c r="W80" s="195"/>
      <c r="X80" s="195"/>
      <c r="Y80" s="195"/>
      <c r="Z80" s="195"/>
      <c r="AA80" s="195"/>
      <c r="AB80" s="196"/>
      <c r="AC80" s="1"/>
      <c r="AD80" s="1"/>
      <c r="AE80" s="1"/>
      <c r="AF80" s="1"/>
      <c r="AG80" s="1"/>
      <c r="AH80" s="1"/>
      <c r="AI80" s="1"/>
      <c r="AJ80" s="1"/>
      <c r="AK80" s="1"/>
      <c r="AL80" s="1"/>
      <c r="AM80" s="1"/>
      <c r="AN80" s="1"/>
      <c r="AO80" s="1"/>
      <c r="AP80" s="1"/>
      <c r="AQ80" s="1"/>
      <c r="AR80" s="1"/>
      <c r="AS80" s="1"/>
      <c r="AT80" s="1"/>
      <c r="AU80" s="1"/>
      <c r="AV80" s="1"/>
      <c r="AW80" s="1"/>
      <c r="AX80" s="1"/>
      <c r="AY80" s="1"/>
      <c r="AZ80" s="1"/>
    </row>
    <row r="81" spans="1:68" ht="19.95" customHeight="1">
      <c r="A81" s="197"/>
      <c r="B81" s="195"/>
      <c r="C81" s="195"/>
      <c r="D81" s="195"/>
      <c r="E81" s="195"/>
      <c r="F81" s="195"/>
      <c r="G81" s="195"/>
      <c r="H81" s="195"/>
      <c r="I81" s="195"/>
      <c r="J81" s="195"/>
      <c r="K81" s="195"/>
      <c r="L81" s="195"/>
      <c r="M81" s="195"/>
      <c r="N81" s="196"/>
      <c r="O81" s="197"/>
      <c r="P81" s="195"/>
      <c r="Q81" s="195"/>
      <c r="R81" s="195"/>
      <c r="S81" s="195"/>
      <c r="T81" s="195"/>
      <c r="U81" s="195"/>
      <c r="V81" s="195"/>
      <c r="W81" s="195"/>
      <c r="X81" s="195"/>
      <c r="Y81" s="195"/>
      <c r="Z81" s="195"/>
      <c r="AA81" s="195"/>
      <c r="AB81" s="196"/>
      <c r="AC81" s="1"/>
      <c r="AD81" s="1"/>
      <c r="AE81" s="1"/>
      <c r="AF81" s="1"/>
      <c r="AG81" s="1"/>
      <c r="AH81" s="1"/>
      <c r="AI81" s="1"/>
      <c r="AJ81" s="1"/>
      <c r="AK81" s="1"/>
      <c r="AL81" s="1"/>
      <c r="AM81" s="1"/>
      <c r="AN81" s="1"/>
      <c r="AO81" s="1"/>
      <c r="AP81" s="1"/>
      <c r="AQ81" s="1"/>
      <c r="AR81" s="1"/>
      <c r="AS81" s="1"/>
      <c r="AT81" s="1"/>
      <c r="AU81" s="1"/>
      <c r="AV81" s="1"/>
      <c r="AW81" s="1"/>
      <c r="AX81" s="1"/>
      <c r="AY81" s="1"/>
      <c r="AZ81" s="1"/>
    </row>
    <row r="82" spans="1:68" ht="19.95" customHeight="1">
      <c r="A82" s="197"/>
      <c r="B82" s="195"/>
      <c r="C82" s="195"/>
      <c r="D82" s="195"/>
      <c r="E82" s="195"/>
      <c r="F82" s="195"/>
      <c r="G82" s="195"/>
      <c r="H82" s="195"/>
      <c r="I82" s="195"/>
      <c r="J82" s="195"/>
      <c r="K82" s="195"/>
      <c r="L82" s="195"/>
      <c r="M82" s="195"/>
      <c r="N82" s="196"/>
      <c r="O82" s="197"/>
      <c r="P82" s="195"/>
      <c r="Q82" s="195"/>
      <c r="R82" s="195"/>
      <c r="S82" s="195"/>
      <c r="T82" s="195"/>
      <c r="U82" s="195"/>
      <c r="V82" s="195"/>
      <c r="W82" s="195"/>
      <c r="X82" s="195"/>
      <c r="Y82" s="195"/>
      <c r="Z82" s="195"/>
      <c r="AA82" s="195"/>
      <c r="AB82" s="196"/>
      <c r="AC82" s="1"/>
      <c r="AD82" s="1"/>
      <c r="AE82" s="1"/>
      <c r="AF82" s="1"/>
      <c r="AG82" s="1"/>
      <c r="AH82" s="1"/>
      <c r="AI82" s="1"/>
      <c r="AJ82" s="1"/>
      <c r="AK82" s="1"/>
      <c r="AL82" s="1"/>
      <c r="AM82" s="1"/>
      <c r="AN82" s="1"/>
      <c r="AO82" s="1"/>
      <c r="AP82" s="1"/>
      <c r="AQ82" s="1"/>
      <c r="AR82" s="1"/>
      <c r="AS82" s="1"/>
      <c r="AT82" s="1"/>
      <c r="AU82" s="1"/>
      <c r="AV82" s="1"/>
      <c r="AW82" s="1"/>
      <c r="AX82" s="1"/>
      <c r="AY82" s="1"/>
      <c r="AZ82" s="1"/>
    </row>
    <row r="83" spans="1:68" ht="19.95" customHeight="1">
      <c r="A83" s="197"/>
      <c r="B83" s="195"/>
      <c r="C83" s="195"/>
      <c r="D83" s="195"/>
      <c r="E83" s="195"/>
      <c r="F83" s="195"/>
      <c r="G83" s="195"/>
      <c r="H83" s="195"/>
      <c r="I83" s="195"/>
      <c r="J83" s="195"/>
      <c r="K83" s="195"/>
      <c r="L83" s="195"/>
      <c r="M83" s="195"/>
      <c r="N83" s="196"/>
      <c r="O83" s="197"/>
      <c r="P83" s="195"/>
      <c r="Q83" s="195"/>
      <c r="R83" s="195"/>
      <c r="S83" s="195"/>
      <c r="T83" s="195"/>
      <c r="U83" s="195"/>
      <c r="V83" s="195"/>
      <c r="W83" s="195"/>
      <c r="X83" s="195"/>
      <c r="Y83" s="195"/>
      <c r="Z83" s="195"/>
      <c r="AA83" s="195"/>
      <c r="AB83" s="196"/>
      <c r="AC83" s="1"/>
      <c r="AD83" s="1"/>
      <c r="AE83" s="1"/>
      <c r="AF83" s="1"/>
      <c r="AG83" s="1"/>
      <c r="AH83" s="1"/>
      <c r="AI83" s="1"/>
      <c r="AJ83" s="1"/>
      <c r="AK83" s="1"/>
      <c r="AL83" s="1"/>
      <c r="AM83" s="1"/>
      <c r="AN83" s="1"/>
      <c r="AO83" s="1"/>
      <c r="AP83" s="1"/>
      <c r="AQ83" s="1"/>
      <c r="AR83" s="1"/>
      <c r="AS83" s="1"/>
      <c r="AT83" s="1"/>
      <c r="AU83" s="1"/>
      <c r="AV83" s="1"/>
      <c r="AW83" s="1"/>
      <c r="AX83" s="1"/>
      <c r="AY83" s="1"/>
      <c r="AZ83" s="1"/>
    </row>
    <row r="84" spans="1:68" ht="19.95" customHeight="1">
      <c r="A84" s="197"/>
      <c r="B84" s="195"/>
      <c r="C84" s="195"/>
      <c r="D84" s="195"/>
      <c r="E84" s="195"/>
      <c r="F84" s="195"/>
      <c r="G84" s="195"/>
      <c r="H84" s="195"/>
      <c r="I84" s="195"/>
      <c r="J84" s="195"/>
      <c r="K84" s="195"/>
      <c r="L84" s="195"/>
      <c r="M84" s="195"/>
      <c r="N84" s="196"/>
      <c r="O84" s="197"/>
      <c r="P84" s="195"/>
      <c r="Q84" s="195"/>
      <c r="R84" s="195"/>
      <c r="S84" s="195"/>
      <c r="T84" s="195"/>
      <c r="U84" s="195"/>
      <c r="V84" s="195"/>
      <c r="W84" s="195"/>
      <c r="X84" s="195"/>
      <c r="Y84" s="195"/>
      <c r="Z84" s="195"/>
      <c r="AA84" s="195"/>
      <c r="AB84" s="196"/>
      <c r="AC84" s="1"/>
      <c r="AD84" s="1"/>
      <c r="AE84" s="1"/>
      <c r="AF84" s="1"/>
      <c r="AG84" s="1"/>
      <c r="AH84" s="1"/>
      <c r="AI84" s="1"/>
      <c r="AJ84" s="1"/>
      <c r="AK84" s="1"/>
      <c r="AL84" s="1"/>
      <c r="AM84" s="1"/>
      <c r="AN84" s="1"/>
      <c r="AO84" s="1"/>
      <c r="AP84" s="1"/>
      <c r="AQ84" s="1"/>
      <c r="AR84" s="1"/>
      <c r="AS84" s="1"/>
      <c r="AT84" s="1"/>
      <c r="AU84" s="1"/>
      <c r="AV84" s="1"/>
      <c r="AW84" s="1"/>
      <c r="AX84" s="1"/>
      <c r="AY84" s="1"/>
      <c r="AZ84" s="1"/>
      <c r="BH84" s="479" t="str">
        <f>CONCATENATE(BJ84,BL84,BM84)</f>
        <v>We simplify your outlook as primarily conservative. No need to complete this.</v>
      </c>
      <c r="BJ84" s="570" t="s">
        <v>1741</v>
      </c>
      <c r="BL84" s="2" t="str">
        <f>IF(BP84=BH123,BJ123,IF(BP84=BH124,BJ124,BJ125))</f>
        <v>conservative</v>
      </c>
      <c r="BM84" s="570" t="s">
        <v>1744</v>
      </c>
      <c r="BO84" s="157" t="s">
        <v>1597</v>
      </c>
      <c r="BP84" s="2" t="str">
        <f>E1096</f>
        <v>CONSERVATIVE</v>
      </c>
    </row>
    <row r="85" spans="1:68" ht="19.95" customHeight="1">
      <c r="A85" s="197"/>
      <c r="B85" s="195"/>
      <c r="C85" s="195"/>
      <c r="D85" s="195"/>
      <c r="E85" s="195"/>
      <c r="F85" s="195"/>
      <c r="G85" s="195"/>
      <c r="H85" s="195"/>
      <c r="I85" s="195"/>
      <c r="J85" s="195"/>
      <c r="K85" s="195"/>
      <c r="L85" s="195"/>
      <c r="M85" s="195"/>
      <c r="N85" s="196"/>
      <c r="O85" s="197"/>
      <c r="P85" s="195"/>
      <c r="Q85" s="195"/>
      <c r="R85" s="195"/>
      <c r="S85" s="195"/>
      <c r="T85" s="195"/>
      <c r="U85" s="195"/>
      <c r="V85" s="195"/>
      <c r="W85" s="195"/>
      <c r="X85" s="195"/>
      <c r="Y85" s="195"/>
      <c r="Z85" s="195"/>
      <c r="AA85" s="195"/>
      <c r="AB85" s="196"/>
      <c r="AC85" s="1"/>
      <c r="AD85" s="1"/>
      <c r="AE85" s="1"/>
      <c r="AF85" s="1"/>
      <c r="AG85" s="1"/>
      <c r="AH85" s="1"/>
      <c r="AI85" s="1"/>
      <c r="AJ85" s="1"/>
      <c r="AK85" s="1"/>
      <c r="AL85" s="1"/>
      <c r="AM85" s="1"/>
      <c r="AN85" s="1"/>
      <c r="AO85" s="1"/>
      <c r="AP85" s="1"/>
      <c r="AQ85" s="1"/>
      <c r="AR85" s="1"/>
      <c r="AS85" s="1"/>
      <c r="AT85" s="1"/>
      <c r="AU85" s="1"/>
      <c r="AV85" s="1"/>
      <c r="AW85" s="1"/>
      <c r="AX85" s="1"/>
      <c r="AY85" s="1"/>
      <c r="AZ85" s="1"/>
      <c r="BH85" s="476" t="str">
        <f>CONCATENATE(BJ85,BL85,BM85)</f>
        <v>We simplify your client's outlook as primarily liberal. No need to fill out.</v>
      </c>
      <c r="BJ85" s="570" t="s">
        <v>1742</v>
      </c>
      <c r="BL85" s="2" t="str">
        <f>IF(BP85=BH123,BJ123,IF(BP85=BH124,BJ124,BJ125))</f>
        <v>liberal</v>
      </c>
      <c r="BM85" s="570" t="s">
        <v>1743</v>
      </c>
      <c r="BO85" s="157" t="s">
        <v>1596</v>
      </c>
      <c r="BP85" s="2" t="str">
        <f>E1094</f>
        <v>LIBERAL</v>
      </c>
    </row>
    <row r="86" spans="1:68" ht="19.95" customHeight="1">
      <c r="A86" s="197"/>
      <c r="B86" s="195"/>
      <c r="C86" s="195"/>
      <c r="D86" s="195"/>
      <c r="E86" s="195"/>
      <c r="F86" s="195"/>
      <c r="G86" s="195"/>
      <c r="H86" s="195"/>
      <c r="I86" s="195"/>
      <c r="J86" s="195"/>
      <c r="K86" s="195"/>
      <c r="L86" s="195"/>
      <c r="M86" s="195"/>
      <c r="N86" s="196"/>
      <c r="O86" s="197"/>
      <c r="P86" s="195"/>
      <c r="Q86" s="195"/>
      <c r="R86" s="195"/>
      <c r="S86" s="195"/>
      <c r="T86" s="195"/>
      <c r="U86" s="195"/>
      <c r="V86" s="195"/>
      <c r="W86" s="195"/>
      <c r="X86" s="195"/>
      <c r="Y86" s="195"/>
      <c r="Z86" s="195"/>
      <c r="AA86" s="195"/>
      <c r="AB86" s="196"/>
      <c r="AC86" s="1"/>
      <c r="AD86" s="1"/>
      <c r="AE86" s="1"/>
      <c r="AF86" s="1"/>
      <c r="AG86" s="1"/>
      <c r="AH86" s="1"/>
      <c r="AI86" s="1"/>
      <c r="AJ86" s="1"/>
      <c r="AK86" s="1"/>
      <c r="AL86" s="1"/>
      <c r="AM86" s="1"/>
      <c r="AN86" s="1"/>
      <c r="AO86" s="1"/>
      <c r="AP86" s="1"/>
      <c r="AQ86" s="1"/>
      <c r="AR86" s="1"/>
      <c r="AS86" s="1"/>
      <c r="AT86" s="1"/>
      <c r="AU86" s="1"/>
      <c r="AV86" s="1"/>
      <c r="AW86" s="1"/>
      <c r="AX86" s="1"/>
      <c r="AY86" s="1"/>
      <c r="AZ86" s="1"/>
      <c r="BI86" s="2" t="s">
        <v>1739</v>
      </c>
    </row>
    <row r="87" spans="1:68" ht="19.95" customHeight="1">
      <c r="A87" s="197"/>
      <c r="B87" s="195"/>
      <c r="C87" s="195"/>
      <c r="D87" s="195"/>
      <c r="E87" s="195"/>
      <c r="F87" s="195"/>
      <c r="G87" s="195"/>
      <c r="H87" s="195"/>
      <c r="I87" s="195"/>
      <c r="J87" s="195"/>
      <c r="K87" s="195"/>
      <c r="L87" s="195"/>
      <c r="M87" s="195"/>
      <c r="N87" s="196"/>
      <c r="O87" s="197"/>
      <c r="P87" s="195"/>
      <c r="Q87" s="195"/>
      <c r="R87" s="195"/>
      <c r="S87" s="195"/>
      <c r="T87" s="195"/>
      <c r="U87" s="195"/>
      <c r="V87" s="195"/>
      <c r="W87" s="195"/>
      <c r="X87" s="195"/>
      <c r="Y87" s="195"/>
      <c r="Z87" s="195"/>
      <c r="AA87" s="195"/>
      <c r="AB87" s="196"/>
      <c r="AC87" s="1"/>
      <c r="AD87" s="1"/>
      <c r="AE87" s="1"/>
      <c r="AF87" s="1"/>
      <c r="AG87" s="1"/>
      <c r="AH87" s="1"/>
      <c r="AI87" s="1"/>
      <c r="AJ87" s="1"/>
      <c r="AK87" s="1"/>
      <c r="AL87" s="1"/>
      <c r="AM87" s="1"/>
      <c r="AN87" s="1"/>
      <c r="AO87" s="1"/>
      <c r="AP87" s="1"/>
      <c r="AQ87" s="1"/>
      <c r="AR87" s="1"/>
      <c r="AS87" s="1"/>
      <c r="AT87" s="1"/>
      <c r="AU87" s="1"/>
      <c r="AV87" s="1"/>
      <c r="AW87" s="1"/>
      <c r="AX87" s="1"/>
      <c r="AY87" s="1"/>
      <c r="AZ87" s="1"/>
      <c r="BI87" s="2" t="s">
        <v>1740</v>
      </c>
    </row>
    <row r="88" spans="1:68">
      <c r="A88" s="207"/>
      <c r="B88" s="208"/>
      <c r="C88" s="208"/>
      <c r="D88" s="208"/>
      <c r="E88" s="208"/>
      <c r="F88" s="208"/>
      <c r="G88" s="208"/>
      <c r="H88" s="208"/>
      <c r="I88" s="208"/>
      <c r="J88" s="208"/>
      <c r="K88" s="208"/>
      <c r="L88" s="208"/>
      <c r="M88" s="208"/>
      <c r="N88" s="209"/>
      <c r="O88" s="207"/>
      <c r="P88" s="208"/>
      <c r="Q88" s="208"/>
      <c r="R88" s="208"/>
      <c r="S88" s="208"/>
      <c r="T88" s="208"/>
      <c r="U88" s="208"/>
      <c r="V88" s="208"/>
      <c r="W88" s="208"/>
      <c r="X88" s="208"/>
      <c r="Y88" s="208"/>
      <c r="Z88" s="208"/>
      <c r="AA88" s="208"/>
      <c r="AB88" s="209"/>
      <c r="AC88" s="1"/>
      <c r="AD88" s="1"/>
      <c r="AE88" s="1"/>
      <c r="AF88" s="1"/>
      <c r="AG88" s="1"/>
      <c r="AH88" s="1"/>
      <c r="AI88" s="1"/>
      <c r="AJ88" s="1"/>
      <c r="AK88" s="1"/>
      <c r="AL88" s="1"/>
      <c r="AM88" s="1"/>
      <c r="AN88" s="1"/>
      <c r="AO88" s="1"/>
      <c r="AP88" s="1"/>
      <c r="AQ88" s="1"/>
      <c r="AR88" s="1"/>
      <c r="AS88" s="1"/>
      <c r="AT88" s="1"/>
      <c r="AU88" s="1"/>
      <c r="AV88" s="1"/>
      <c r="AW88" s="1"/>
      <c r="AX88" s="1"/>
      <c r="AY88" s="1"/>
      <c r="AZ88" s="1"/>
      <c r="BH88" s="479" t="str">
        <f>IF(BL124=BJ125,BJ89,CONCATENATE(BJ88,BK88,BL88,BM88,BN88,BO88,BP88))</f>
        <v>According to your responses, you are an independent.</v>
      </c>
      <c r="BJ88" s="478" t="s">
        <v>1732</v>
      </c>
      <c r="BK88" s="2" t="str">
        <f>BL124</f>
        <v>independent</v>
      </c>
      <c r="BL88" s="478" t="s">
        <v>1733</v>
      </c>
      <c r="BM88" s="2" t="str">
        <f>BL125</f>
        <v>independent</v>
      </c>
      <c r="BN88" s="478" t="s">
        <v>706</v>
      </c>
      <c r="BP88" s="478"/>
    </row>
    <row r="89" spans="1:68" ht="30" customHeight="1">
      <c r="A89" s="210" t="s">
        <v>1148</v>
      </c>
      <c r="B89" s="1286" t="s">
        <v>1258</v>
      </c>
      <c r="C89" s="1286"/>
      <c r="D89" s="1286"/>
      <c r="E89" s="1286"/>
      <c r="F89" s="1286"/>
      <c r="G89" s="1286"/>
      <c r="H89" s="1286"/>
      <c r="I89" s="1286"/>
      <c r="J89" s="1286"/>
      <c r="K89" s="1286"/>
      <c r="L89" s="1286"/>
      <c r="M89" s="1286"/>
      <c r="N89" s="211" t="s">
        <v>1149</v>
      </c>
      <c r="O89" s="210"/>
      <c r="P89" s="389" t="s">
        <v>1259</v>
      </c>
      <c r="Q89" s="204"/>
      <c r="R89" s="204"/>
      <c r="S89" s="204"/>
      <c r="T89" s="204"/>
      <c r="U89" s="204"/>
      <c r="V89" s="204"/>
      <c r="W89" s="204"/>
      <c r="X89" s="204"/>
      <c r="Y89" s="204"/>
      <c r="Z89" s="204"/>
      <c r="AA89" s="204"/>
      <c r="AB89" s="211" t="s">
        <v>1149</v>
      </c>
      <c r="AC89" s="577"/>
      <c r="AD89" s="1"/>
      <c r="AE89" s="1"/>
      <c r="AF89" s="1"/>
      <c r="AG89" s="1"/>
      <c r="AH89" s="1"/>
      <c r="AI89" s="1"/>
      <c r="AJ89" s="1"/>
      <c r="AK89" s="1"/>
      <c r="AL89" s="1"/>
      <c r="AM89" s="1"/>
      <c r="AN89" s="1"/>
      <c r="AO89" s="1"/>
      <c r="AP89" s="577"/>
      <c r="AQ89" s="577"/>
      <c r="AR89" s="577"/>
      <c r="AS89" s="577"/>
      <c r="AT89" s="577"/>
      <c r="AU89" s="577"/>
      <c r="AV89" s="577"/>
      <c r="AW89" s="577"/>
      <c r="AX89" s="577"/>
      <c r="AY89" s="577"/>
      <c r="AZ89" s="1"/>
      <c r="BJ89" s="478" t="s">
        <v>1736</v>
      </c>
    </row>
    <row r="90" spans="1:68" ht="7.05" customHeight="1">
      <c r="A90" s="199"/>
      <c r="B90" s="24"/>
      <c r="C90" s="24"/>
      <c r="D90" s="24"/>
      <c r="E90" s="24"/>
      <c r="F90" s="24"/>
      <c r="G90" s="24"/>
      <c r="H90" s="24"/>
      <c r="I90" s="24"/>
      <c r="J90" s="24"/>
      <c r="K90" s="24"/>
      <c r="L90" s="24"/>
      <c r="M90" s="24"/>
      <c r="N90" s="200"/>
      <c r="O90" s="199"/>
      <c r="P90" s="24"/>
      <c r="Q90" s="24"/>
      <c r="R90" s="24"/>
      <c r="S90" s="24"/>
      <c r="T90" s="24"/>
      <c r="U90" s="24"/>
      <c r="V90" s="24"/>
      <c r="W90" s="24"/>
      <c r="X90" s="24"/>
      <c r="Y90" s="24"/>
      <c r="Z90" s="24"/>
      <c r="AA90" s="24"/>
      <c r="AB90" s="200"/>
      <c r="AC90" s="1"/>
      <c r="AD90" s="1"/>
      <c r="AE90" s="1"/>
      <c r="AF90" s="1"/>
      <c r="AG90" s="1"/>
      <c r="AH90" s="1"/>
      <c r="AI90" s="1"/>
      <c r="AJ90" s="1"/>
      <c r="AK90" s="1"/>
      <c r="AL90" s="1"/>
      <c r="AM90" s="1"/>
      <c r="AN90" s="1"/>
      <c r="AO90" s="1"/>
      <c r="AP90" s="1"/>
      <c r="AQ90" s="1"/>
      <c r="AR90" s="1"/>
      <c r="AS90" s="1"/>
      <c r="AT90" s="1"/>
      <c r="AU90" s="1"/>
      <c r="AV90" s="1"/>
      <c r="AW90" s="1"/>
      <c r="AX90" s="1"/>
      <c r="AY90" s="1"/>
      <c r="AZ90" s="1"/>
      <c r="BH90" s="476" t="str">
        <f>IF(BN124=BJ125,BJ91,CONCATENATE(BJ90,BK90,BL90,BM90,BN90,BO90,BP90))</f>
        <v>According to your responses, you are an independent.</v>
      </c>
      <c r="BJ90" s="478" t="s">
        <v>1734</v>
      </c>
      <c r="BK90" s="2" t="str">
        <f>BN124</f>
        <v>independent</v>
      </c>
      <c r="BL90" s="478" t="s">
        <v>1733</v>
      </c>
      <c r="BM90" s="2" t="str">
        <f>BN125</f>
        <v>independent</v>
      </c>
      <c r="BN90" s="478" t="s">
        <v>706</v>
      </c>
      <c r="BP90" s="478"/>
    </row>
    <row r="91" spans="1:68" ht="7.05" customHeight="1">
      <c r="A91" s="199"/>
      <c r="B91" s="24"/>
      <c r="C91" s="24"/>
      <c r="D91" s="24"/>
      <c r="E91" s="24"/>
      <c r="F91" s="24"/>
      <c r="G91" s="24"/>
      <c r="H91" s="24"/>
      <c r="I91" s="24"/>
      <c r="J91" s="24"/>
      <c r="K91" s="24"/>
      <c r="L91" s="24"/>
      <c r="M91" s="24"/>
      <c r="N91" s="200"/>
      <c r="O91" s="199"/>
      <c r="P91" s="24"/>
      <c r="Q91" s="24"/>
      <c r="R91" s="24"/>
      <c r="S91" s="24"/>
      <c r="T91" s="24"/>
      <c r="U91" s="24"/>
      <c r="V91" s="24"/>
      <c r="W91" s="24"/>
      <c r="X91" s="24"/>
      <c r="Y91" s="24"/>
      <c r="Z91" s="24"/>
      <c r="AA91" s="24"/>
      <c r="AB91" s="200"/>
      <c r="AC91" s="1"/>
      <c r="AD91" s="1"/>
      <c r="AE91" s="1"/>
      <c r="AF91" s="1"/>
      <c r="AG91" s="1"/>
      <c r="AH91" s="1"/>
      <c r="AI91" s="1"/>
      <c r="AJ91" s="1"/>
      <c r="AK91" s="1"/>
      <c r="AL91" s="1"/>
      <c r="AM91" s="1"/>
      <c r="AN91" s="1"/>
      <c r="AO91" s="1"/>
      <c r="AP91" s="1"/>
      <c r="AQ91" s="1"/>
      <c r="AR91" s="1"/>
      <c r="AS91" s="1"/>
      <c r="AT91" s="1"/>
      <c r="AU91" s="1"/>
      <c r="AV91" s="1"/>
      <c r="AW91" s="1"/>
      <c r="AX91" s="1"/>
      <c r="AY91" s="1"/>
      <c r="AZ91" s="1"/>
      <c r="BJ91" s="478" t="s">
        <v>1736</v>
      </c>
    </row>
    <row r="92" spans="1:68" ht="22.95" customHeight="1">
      <c r="A92" s="199"/>
      <c r="B92" s="1277" t="s">
        <v>1260</v>
      </c>
      <c r="C92" s="1277"/>
      <c r="D92" s="1277"/>
      <c r="E92" s="1277"/>
      <c r="F92" s="1277"/>
      <c r="G92" s="1277"/>
      <c r="H92" s="1277"/>
      <c r="I92" s="1277"/>
      <c r="J92" s="1277"/>
      <c r="K92" s="1277"/>
      <c r="L92" s="1277"/>
      <c r="M92" s="1277"/>
      <c r="N92" s="200"/>
      <c r="O92" s="199"/>
      <c r="P92" s="24"/>
      <c r="Q92" s="24"/>
      <c r="R92" s="24"/>
      <c r="S92" s="24"/>
      <c r="T92" s="24"/>
      <c r="U92" s="24"/>
      <c r="V92" s="24"/>
      <c r="W92" s="24"/>
      <c r="X92" s="24"/>
      <c r="Y92" s="24"/>
      <c r="Z92" s="24"/>
      <c r="AA92" s="24"/>
      <c r="AB92" s="200"/>
      <c r="AC92" s="1"/>
      <c r="AD92" s="1"/>
      <c r="AE92" s="1"/>
      <c r="AF92" s="1"/>
      <c r="AG92" s="1"/>
      <c r="AH92" s="1"/>
      <c r="AI92" s="1"/>
      <c r="AJ92" s="1"/>
      <c r="AK92" s="1"/>
      <c r="AL92" s="1"/>
      <c r="AM92" s="1"/>
      <c r="AN92" s="1"/>
      <c r="AO92" s="1"/>
      <c r="AP92" s="1"/>
      <c r="AQ92" s="1"/>
      <c r="AR92" s="1"/>
      <c r="AS92" s="1"/>
      <c r="AT92" s="1"/>
      <c r="AU92" s="1"/>
      <c r="AV92" s="1"/>
      <c r="AW92" s="1"/>
      <c r="AX92" s="1"/>
      <c r="AY92" s="1"/>
      <c r="AZ92" s="1"/>
      <c r="BH92" s="479" t="str">
        <f>IF(AND(BF106&gt;7,BF106&lt;9),BH88,IF(AND(BF106&gt;0,BF106&lt;8),BI86,BI$93))</f>
        <v>NOTE: This tool will not work properly until you select a political outlook for yourself.</v>
      </c>
    </row>
    <row r="93" spans="1:68" ht="22.95" customHeight="1">
      <c r="A93" s="199"/>
      <c r="B93" s="1277"/>
      <c r="C93" s="1277"/>
      <c r="D93" s="1277"/>
      <c r="E93" s="1277"/>
      <c r="F93" s="1277"/>
      <c r="G93" s="1277"/>
      <c r="H93" s="1277"/>
      <c r="I93" s="1277"/>
      <c r="J93" s="1277"/>
      <c r="K93" s="1277"/>
      <c r="L93" s="1277"/>
      <c r="M93" s="1277"/>
      <c r="N93" s="200"/>
      <c r="O93" s="199"/>
      <c r="P93" s="24"/>
      <c r="Q93" s="24"/>
      <c r="R93" s="24"/>
      <c r="S93" s="24"/>
      <c r="T93" s="24"/>
      <c r="U93" s="24"/>
      <c r="V93" s="24"/>
      <c r="W93" s="24"/>
      <c r="X93" s="24"/>
      <c r="Y93" s="24"/>
      <c r="Z93" s="24"/>
      <c r="AA93" s="24"/>
      <c r="AB93" s="200"/>
      <c r="AC93" s="1"/>
      <c r="AD93" s="1"/>
      <c r="AE93" s="1"/>
      <c r="AF93" s="1"/>
      <c r="AG93" s="1"/>
      <c r="AH93" s="1"/>
      <c r="AI93" s="1"/>
      <c r="AJ93" s="1"/>
      <c r="AK93" s="1"/>
      <c r="AL93" s="1"/>
      <c r="AM93" s="1"/>
      <c r="AN93" s="1"/>
      <c r="AO93" s="1"/>
      <c r="AP93" s="1"/>
      <c r="AQ93" s="1"/>
      <c r="AR93" s="1"/>
      <c r="AS93" s="1"/>
      <c r="AT93" s="1"/>
      <c r="AU93" s="1"/>
      <c r="AV93" s="1"/>
      <c r="AW93" s="1"/>
      <c r="AX93" s="1"/>
      <c r="AY93" s="1"/>
      <c r="AZ93" s="1"/>
      <c r="BI93" s="2" t="s">
        <v>1737</v>
      </c>
    </row>
    <row r="94" spans="1:68" ht="22.95" customHeight="1">
      <c r="A94" s="199"/>
      <c r="B94" s="1277"/>
      <c r="C94" s="1277"/>
      <c r="D94" s="1277"/>
      <c r="E94" s="1277"/>
      <c r="F94" s="1277"/>
      <c r="G94" s="1277"/>
      <c r="H94" s="1277"/>
      <c r="I94" s="1277"/>
      <c r="J94" s="1277"/>
      <c r="K94" s="1277"/>
      <c r="L94" s="1277"/>
      <c r="M94" s="1277"/>
      <c r="N94" s="200"/>
      <c r="O94" s="199"/>
      <c r="P94" s="24"/>
      <c r="Q94" s="24"/>
      <c r="R94" s="24"/>
      <c r="S94" s="24"/>
      <c r="T94" s="24"/>
      <c r="U94" s="24"/>
      <c r="V94" s="24"/>
      <c r="W94" s="24"/>
      <c r="X94" s="24"/>
      <c r="Y94" s="24"/>
      <c r="Z94" s="24"/>
      <c r="AA94" s="24"/>
      <c r="AB94" s="200"/>
      <c r="AC94" s="1"/>
      <c r="AD94" s="1"/>
      <c r="AE94" s="1"/>
      <c r="AF94" s="1"/>
      <c r="AG94" s="1"/>
      <c r="AH94" s="1"/>
      <c r="AI94" s="1"/>
      <c r="AJ94" s="1"/>
      <c r="AK94" s="1"/>
      <c r="AL94" s="1"/>
      <c r="AM94" s="1"/>
      <c r="AN94" s="1"/>
      <c r="AO94" s="1"/>
      <c r="AP94" s="1"/>
      <c r="AQ94" s="1"/>
      <c r="AR94" s="1"/>
      <c r="AS94" s="1"/>
      <c r="AT94" s="1"/>
      <c r="AU94" s="1"/>
      <c r="AV94" s="1"/>
      <c r="AW94" s="1"/>
      <c r="AX94" s="1"/>
      <c r="AY94" s="1"/>
      <c r="AZ94" s="1"/>
      <c r="BH94" s="476" t="str">
        <f>IF(AND(BF123&gt;7,BF123&lt;9),BH90,IF(AND(BF123&gt;0,BF123&lt;8),BI87,BI$95))</f>
        <v>NOTE: This tool will not work properly until you select a political outlook for your client.</v>
      </c>
    </row>
    <row r="95" spans="1:68" ht="22.95" customHeight="1">
      <c r="A95" s="199"/>
      <c r="B95" s="1277"/>
      <c r="C95" s="1277"/>
      <c r="D95" s="1277"/>
      <c r="E95" s="1277"/>
      <c r="F95" s="1277"/>
      <c r="G95" s="1277"/>
      <c r="H95" s="1277"/>
      <c r="I95" s="1277"/>
      <c r="J95" s="1277"/>
      <c r="K95" s="1277"/>
      <c r="L95" s="1277"/>
      <c r="M95" s="1277"/>
      <c r="N95" s="200"/>
      <c r="O95" s="199"/>
      <c r="P95" s="24"/>
      <c r="Q95" s="24"/>
      <c r="R95" s="24"/>
      <c r="S95" s="24"/>
      <c r="T95" s="24"/>
      <c r="U95" s="24"/>
      <c r="V95" s="24"/>
      <c r="W95" s="24"/>
      <c r="X95" s="24"/>
      <c r="Y95" s="24"/>
      <c r="Z95" s="24"/>
      <c r="AA95" s="24"/>
      <c r="AB95" s="200"/>
      <c r="AC95" s="1"/>
      <c r="AD95" s="1"/>
      <c r="AE95" s="1"/>
      <c r="AF95" s="1"/>
      <c r="AG95" s="1"/>
      <c r="AH95" s="1"/>
      <c r="AI95" s="1"/>
      <c r="AJ95" s="1"/>
      <c r="AK95" s="1"/>
      <c r="AL95" s="1"/>
      <c r="AM95" s="1"/>
      <c r="AN95" s="1"/>
      <c r="AO95" s="1"/>
      <c r="AP95" s="1"/>
      <c r="AQ95" s="1"/>
      <c r="AR95" s="1"/>
      <c r="AS95" s="1"/>
      <c r="AT95" s="1"/>
      <c r="AU95" s="1"/>
      <c r="AV95" s="1"/>
      <c r="AW95" s="1"/>
      <c r="AX95" s="1"/>
      <c r="AY95" s="1"/>
      <c r="AZ95" s="1"/>
      <c r="BI95" s="2" t="s">
        <v>1738</v>
      </c>
    </row>
    <row r="96" spans="1:68" ht="4.95" customHeight="1" thickBot="1">
      <c r="A96" s="199"/>
      <c r="B96" s="391"/>
      <c r="C96" s="391"/>
      <c r="D96" s="391"/>
      <c r="E96" s="391"/>
      <c r="F96" s="391"/>
      <c r="G96" s="391"/>
      <c r="H96" s="391"/>
      <c r="I96" s="391"/>
      <c r="J96" s="391"/>
      <c r="K96" s="391"/>
      <c r="L96" s="391"/>
      <c r="M96" s="391"/>
      <c r="N96" s="200"/>
      <c r="O96" s="199"/>
      <c r="P96" s="24"/>
      <c r="Q96" s="24"/>
      <c r="R96" s="24"/>
      <c r="S96" s="24"/>
      <c r="T96" s="24"/>
      <c r="U96" s="24"/>
      <c r="V96" s="24"/>
      <c r="W96" s="24"/>
      <c r="X96" s="24"/>
      <c r="Y96" s="24"/>
      <c r="Z96" s="24"/>
      <c r="AA96" s="24"/>
      <c r="AB96" s="200"/>
      <c r="AC96" s="1"/>
      <c r="AD96" s="1"/>
      <c r="AE96" s="1"/>
      <c r="AF96" s="1"/>
      <c r="AG96" s="1"/>
      <c r="AH96" s="1"/>
      <c r="AI96" s="1"/>
      <c r="AJ96" s="1"/>
      <c r="AK96" s="1"/>
      <c r="AL96" s="1"/>
      <c r="AM96" s="1"/>
      <c r="AN96" s="1"/>
      <c r="AO96" s="1"/>
      <c r="AP96" s="1"/>
      <c r="AQ96" s="1"/>
      <c r="AR96" s="1"/>
      <c r="AS96" s="1"/>
      <c r="AT96" s="1"/>
      <c r="AU96" s="1"/>
      <c r="AV96" s="1"/>
      <c r="AW96" s="1"/>
      <c r="AX96" s="1"/>
      <c r="AY96" s="1"/>
      <c r="AZ96" s="1"/>
    </row>
    <row r="97" spans="1:66" ht="19.95" customHeight="1" thickBot="1">
      <c r="A97" s="199"/>
      <c r="B97" s="393" t="s">
        <v>1261</v>
      </c>
      <c r="C97" s="392"/>
      <c r="D97" s="392"/>
      <c r="E97" s="392"/>
      <c r="F97" s="392"/>
      <c r="G97" s="392"/>
      <c r="H97" s="1324" t="s">
        <v>1338</v>
      </c>
      <c r="I97" s="1325"/>
      <c r="J97" s="1325"/>
      <c r="K97" s="1325"/>
      <c r="L97" s="1325"/>
      <c r="M97" s="1326"/>
      <c r="N97" s="200"/>
      <c r="O97" s="199"/>
      <c r="P97" s="24"/>
      <c r="Q97" s="24"/>
      <c r="R97" s="24"/>
      <c r="S97" s="24"/>
      <c r="T97" s="24"/>
      <c r="U97" s="24"/>
      <c r="V97" s="24"/>
      <c r="W97" s="24"/>
      <c r="X97" s="24"/>
      <c r="Y97" s="24"/>
      <c r="Z97" s="24"/>
      <c r="AA97" s="24"/>
      <c r="AB97" s="200"/>
      <c r="AC97" s="1"/>
      <c r="AD97" s="1"/>
      <c r="AE97" s="1"/>
      <c r="AF97" s="1"/>
      <c r="AG97" s="1"/>
      <c r="AH97" s="1"/>
      <c r="AI97" s="1"/>
      <c r="AJ97" s="1"/>
      <c r="AK97" s="1"/>
      <c r="AL97" s="1"/>
      <c r="AM97" s="1"/>
      <c r="AN97" s="1"/>
      <c r="AO97" s="1"/>
      <c r="AP97" s="1"/>
      <c r="AQ97" s="1"/>
      <c r="AR97" s="1"/>
      <c r="AS97" s="1"/>
      <c r="AT97" s="1"/>
      <c r="AU97" s="1"/>
      <c r="AV97" s="1"/>
      <c r="AW97" s="1"/>
      <c r="AX97" s="1"/>
      <c r="AY97" s="1"/>
      <c r="AZ97" s="1"/>
    </row>
    <row r="98" spans="1:66" ht="4.95" customHeight="1" thickBot="1">
      <c r="A98" s="199"/>
      <c r="B98" s="392"/>
      <c r="C98" s="392"/>
      <c r="D98" s="392"/>
      <c r="E98" s="392"/>
      <c r="F98" s="392"/>
      <c r="G98" s="392"/>
      <c r="H98" s="24"/>
      <c r="I98" s="24"/>
      <c r="J98" s="24"/>
      <c r="K98" s="24"/>
      <c r="L98" s="24"/>
      <c r="M98" s="24"/>
      <c r="N98" s="200"/>
      <c r="O98" s="199"/>
      <c r="P98" s="24"/>
      <c r="Q98" s="24"/>
      <c r="R98" s="24"/>
      <c r="S98" s="24"/>
      <c r="T98" s="24"/>
      <c r="U98" s="24"/>
      <c r="V98" s="24"/>
      <c r="W98" s="24"/>
      <c r="X98" s="24"/>
      <c r="Y98" s="24"/>
      <c r="Z98" s="24"/>
      <c r="AA98" s="24"/>
      <c r="AB98" s="200"/>
      <c r="AC98" s="1"/>
      <c r="AD98" s="1"/>
      <c r="AE98" s="1"/>
      <c r="AF98" s="1"/>
      <c r="AG98" s="1"/>
      <c r="AH98" s="1"/>
      <c r="AI98" s="1"/>
      <c r="AJ98" s="1"/>
      <c r="AK98" s="1"/>
      <c r="AL98" s="1"/>
      <c r="AM98" s="1"/>
      <c r="AN98" s="1"/>
      <c r="AO98" s="1"/>
      <c r="AP98" s="1"/>
      <c r="AQ98" s="1"/>
      <c r="AR98" s="1"/>
      <c r="AS98" s="1"/>
      <c r="AT98" s="1"/>
      <c r="AU98" s="1"/>
      <c r="AV98" s="1"/>
      <c r="AW98" s="1"/>
      <c r="AX98" s="1"/>
      <c r="AY98" s="1"/>
      <c r="AZ98" s="1"/>
    </row>
    <row r="99" spans="1:66" ht="19.95" customHeight="1" thickBot="1">
      <c r="A99" s="199"/>
      <c r="B99" s="393" t="s">
        <v>1262</v>
      </c>
      <c r="C99" s="392"/>
      <c r="D99" s="392"/>
      <c r="E99" s="392"/>
      <c r="F99" s="392"/>
      <c r="G99" s="392"/>
      <c r="H99" s="1324" t="s">
        <v>681</v>
      </c>
      <c r="I99" s="1325"/>
      <c r="J99" s="1325"/>
      <c r="K99" s="1325"/>
      <c r="L99" s="1325"/>
      <c r="M99" s="1326"/>
      <c r="N99" s="200"/>
      <c r="O99" s="199"/>
      <c r="P99" s="24"/>
      <c r="Q99" s="24"/>
      <c r="R99" s="24"/>
      <c r="S99" s="24"/>
      <c r="T99" s="24"/>
      <c r="U99" s="24"/>
      <c r="V99" s="24"/>
      <c r="W99" s="24"/>
      <c r="X99" s="24"/>
      <c r="Y99" s="24"/>
      <c r="Z99" s="24"/>
      <c r="AA99" s="24"/>
      <c r="AB99" s="200"/>
      <c r="AC99" s="1"/>
      <c r="AD99" s="1"/>
      <c r="AE99" s="1"/>
      <c r="AF99" s="1"/>
      <c r="AG99" s="1"/>
      <c r="AH99" s="1"/>
      <c r="AI99" s="1"/>
      <c r="AJ99" s="1"/>
      <c r="AK99" s="1"/>
      <c r="AL99" s="1"/>
      <c r="AM99" s="1"/>
      <c r="AN99" s="1"/>
      <c r="AO99" s="1"/>
      <c r="AP99" s="1"/>
      <c r="AQ99" s="1"/>
      <c r="AR99" s="1"/>
      <c r="AS99" s="1"/>
      <c r="AT99" s="1"/>
      <c r="AU99" s="1"/>
      <c r="AV99" s="1"/>
      <c r="AW99" s="1"/>
      <c r="AX99" s="1"/>
      <c r="AY99" s="1"/>
      <c r="AZ99" s="1"/>
    </row>
    <row r="100" spans="1:66" ht="4.95" customHeight="1" thickBot="1">
      <c r="A100" s="199"/>
      <c r="B100" s="392"/>
      <c r="C100" s="392"/>
      <c r="D100" s="392"/>
      <c r="E100" s="392"/>
      <c r="F100" s="392"/>
      <c r="G100" s="392"/>
      <c r="H100" s="24"/>
      <c r="I100" s="24"/>
      <c r="J100" s="24"/>
      <c r="K100" s="24"/>
      <c r="L100" s="24"/>
      <c r="M100" s="24"/>
      <c r="N100" s="200"/>
      <c r="O100" s="199"/>
      <c r="P100" s="24"/>
      <c r="Q100" s="24"/>
      <c r="R100" s="24"/>
      <c r="S100" s="24"/>
      <c r="T100" s="24"/>
      <c r="U100" s="24"/>
      <c r="V100" s="24"/>
      <c r="W100" s="24"/>
      <c r="X100" s="24"/>
      <c r="Y100" s="24"/>
      <c r="Z100" s="24"/>
      <c r="AA100" s="24"/>
      <c r="AB100" s="200"/>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row>
    <row r="101" spans="1:66" ht="19.95" customHeight="1" thickBot="1">
      <c r="A101" s="199"/>
      <c r="B101" s="393" t="s">
        <v>1712</v>
      </c>
      <c r="C101" s="392"/>
      <c r="D101" s="392"/>
      <c r="E101" s="392"/>
      <c r="F101" s="392"/>
      <c r="G101" s="392"/>
      <c r="H101" s="1324" t="s">
        <v>53</v>
      </c>
      <c r="I101" s="1325"/>
      <c r="J101" s="1325"/>
      <c r="K101" s="1325"/>
      <c r="L101" s="1325"/>
      <c r="M101" s="1326"/>
      <c r="N101" s="200"/>
      <c r="O101" s="199"/>
      <c r="P101" s="24"/>
      <c r="Q101" s="24"/>
      <c r="R101" s="24"/>
      <c r="S101" s="24"/>
      <c r="T101" s="24"/>
      <c r="U101" s="24"/>
      <c r="V101" s="24"/>
      <c r="W101" s="24"/>
      <c r="X101" s="24"/>
      <c r="Y101" s="24"/>
      <c r="Z101" s="24"/>
      <c r="AA101" s="24"/>
      <c r="AB101" s="200"/>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row>
    <row r="102" spans="1:66" ht="15" customHeight="1">
      <c r="A102" s="199"/>
      <c r="B102" s="24"/>
      <c r="C102" s="24"/>
      <c r="D102" s="24"/>
      <c r="E102" s="24"/>
      <c r="F102" s="24"/>
      <c r="G102" s="24"/>
      <c r="H102" s="24"/>
      <c r="I102" s="24"/>
      <c r="J102" s="24"/>
      <c r="K102" s="24"/>
      <c r="L102" s="24"/>
      <c r="M102" s="24"/>
      <c r="N102" s="200"/>
      <c r="O102" s="199"/>
      <c r="P102" s="24"/>
      <c r="Q102" s="24"/>
      <c r="R102" s="24"/>
      <c r="S102" s="24"/>
      <c r="T102" s="24"/>
      <c r="U102" s="24"/>
      <c r="V102" s="24"/>
      <c r="W102" s="24"/>
      <c r="X102" s="24"/>
      <c r="Y102" s="24"/>
      <c r="Z102" s="24"/>
      <c r="AA102" s="24"/>
      <c r="AB102" s="200"/>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row>
    <row r="103" spans="1:66" ht="19.95" customHeight="1">
      <c r="A103" s="199"/>
      <c r="B103" s="1277" t="s">
        <v>1806</v>
      </c>
      <c r="C103" s="1277"/>
      <c r="D103" s="1277"/>
      <c r="E103" s="1277"/>
      <c r="F103" s="1277"/>
      <c r="G103" s="1277"/>
      <c r="H103" s="1277"/>
      <c r="I103" s="1277"/>
      <c r="J103" s="1277"/>
      <c r="K103" s="1277"/>
      <c r="L103" s="1277"/>
      <c r="M103" s="1277"/>
      <c r="N103" s="200"/>
      <c r="O103" s="199"/>
      <c r="P103" s="24"/>
      <c r="Q103" s="24"/>
      <c r="R103" s="24"/>
      <c r="S103" s="24"/>
      <c r="T103" s="24"/>
      <c r="U103" s="24"/>
      <c r="V103" s="24"/>
      <c r="W103" s="24"/>
      <c r="X103" s="24"/>
      <c r="Y103" s="24"/>
      <c r="Z103" s="24"/>
      <c r="AA103" s="24"/>
      <c r="AB103" s="200"/>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row>
    <row r="104" spans="1:66" ht="19.95" customHeight="1">
      <c r="A104" s="199"/>
      <c r="B104" s="1277"/>
      <c r="C104" s="1277"/>
      <c r="D104" s="1277"/>
      <c r="E104" s="1277"/>
      <c r="F104" s="1277"/>
      <c r="G104" s="1277"/>
      <c r="H104" s="1277"/>
      <c r="I104" s="1277"/>
      <c r="J104" s="1277"/>
      <c r="K104" s="1277"/>
      <c r="L104" s="1277"/>
      <c r="M104" s="1277"/>
      <c r="N104" s="200"/>
      <c r="O104" s="199"/>
      <c r="P104" s="24"/>
      <c r="Q104" s="24"/>
      <c r="R104" s="24"/>
      <c r="S104" s="24"/>
      <c r="T104" s="24"/>
      <c r="U104" s="24"/>
      <c r="V104" s="24"/>
      <c r="W104" s="24"/>
      <c r="X104" s="24"/>
      <c r="Y104" s="24"/>
      <c r="Z104" s="24"/>
      <c r="AA104" s="24"/>
      <c r="AB104" s="200"/>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row>
    <row r="105" spans="1:66" ht="19.95" customHeight="1">
      <c r="A105" s="199"/>
      <c r="B105" s="471" t="s">
        <v>1714</v>
      </c>
      <c r="C105" s="24"/>
      <c r="D105" s="24"/>
      <c r="E105" s="24"/>
      <c r="F105" s="24"/>
      <c r="G105" s="24"/>
      <c r="H105" s="471" t="s">
        <v>1713</v>
      </c>
      <c r="I105" s="24"/>
      <c r="J105" s="24"/>
      <c r="K105" s="24"/>
      <c r="L105" s="24"/>
      <c r="M105" s="24"/>
      <c r="N105" s="200"/>
      <c r="O105" s="199"/>
      <c r="P105" s="24"/>
      <c r="Q105" s="24"/>
      <c r="R105" s="24"/>
      <c r="S105" s="24"/>
      <c r="T105" s="24"/>
      <c r="U105" s="24"/>
      <c r="V105" s="24"/>
      <c r="W105" s="24"/>
      <c r="X105" s="24"/>
      <c r="Y105" s="24"/>
      <c r="Z105" s="24"/>
      <c r="AA105" s="24"/>
      <c r="AB105" s="200"/>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row>
    <row r="106" spans="1:66" ht="19.95" customHeight="1" thickBot="1">
      <c r="A106" s="199"/>
      <c r="B106" s="480" t="s">
        <v>1730</v>
      </c>
      <c r="C106" s="393"/>
      <c r="D106" s="393"/>
      <c r="E106" s="393"/>
      <c r="F106" s="393"/>
      <c r="G106" s="393"/>
      <c r="H106" s="480" t="s">
        <v>1731</v>
      </c>
      <c r="I106" s="393"/>
      <c r="J106" s="393"/>
      <c r="K106" s="393"/>
      <c r="L106" s="393"/>
      <c r="M106" s="393"/>
      <c r="N106" s="200"/>
      <c r="O106" s="199"/>
      <c r="P106" s="24"/>
      <c r="Q106" s="24"/>
      <c r="R106" s="24"/>
      <c r="S106" s="24"/>
      <c r="T106" s="24"/>
      <c r="U106" s="24"/>
      <c r="V106" s="24"/>
      <c r="W106" s="24"/>
      <c r="X106" s="24"/>
      <c r="Y106" s="24"/>
      <c r="Z106" s="24"/>
      <c r="AA106" s="24"/>
      <c r="AB106" s="200"/>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F106" s="139">
        <f>SUM(BF107:BF114)</f>
        <v>0</v>
      </c>
    </row>
    <row r="107" spans="1:66" ht="19.05" customHeight="1" thickBot="1">
      <c r="A107" s="199"/>
      <c r="B107" s="24"/>
      <c r="C107" s="1280"/>
      <c r="D107" s="1281"/>
      <c r="E107" s="1281"/>
      <c r="F107" s="1281"/>
      <c r="G107" s="1282"/>
      <c r="H107" s="24"/>
      <c r="I107" s="1280"/>
      <c r="J107" s="1281"/>
      <c r="K107" s="1281"/>
      <c r="L107" s="1281"/>
      <c r="M107" s="1282"/>
      <c r="N107" s="200"/>
      <c r="O107" s="199"/>
      <c r="P107" s="24"/>
      <c r="Q107" s="24"/>
      <c r="R107" s="24"/>
      <c r="S107" s="24"/>
      <c r="T107" s="24"/>
      <c r="U107" s="24"/>
      <c r="V107" s="24"/>
      <c r="W107" s="24"/>
      <c r="X107" s="24"/>
      <c r="Y107" s="24"/>
      <c r="Z107" s="24"/>
      <c r="AA107" s="24"/>
      <c r="AB107" s="200"/>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F107" s="144">
        <f t="shared" ref="BF107:BF114" si="0">IF(C107="",0,1)</f>
        <v>0</v>
      </c>
      <c r="BG107" s="2">
        <v>1</v>
      </c>
      <c r="BH107" s="472" t="s">
        <v>1745</v>
      </c>
      <c r="BL107" s="417">
        <f>IF($C107=$BH107,-1,IF($C107=$BH108,1,0))</f>
        <v>0</v>
      </c>
      <c r="BN107" s="417">
        <f>IF($I107=$BH107,-1,IF($I107=$BH108,1,0))</f>
        <v>0</v>
      </c>
    </row>
    <row r="108" spans="1:66" ht="19.05" customHeight="1" thickTop="1" thickBot="1">
      <c r="A108" s="199"/>
      <c r="B108" s="24"/>
      <c r="C108" s="1280"/>
      <c r="D108" s="1281"/>
      <c r="E108" s="1281"/>
      <c r="F108" s="1281"/>
      <c r="G108" s="1282"/>
      <c r="H108" s="24"/>
      <c r="I108" s="1280"/>
      <c r="J108" s="1281"/>
      <c r="K108" s="1281"/>
      <c r="L108" s="1281"/>
      <c r="M108" s="1282"/>
      <c r="N108" s="200"/>
      <c r="O108" s="199"/>
      <c r="P108" s="24"/>
      <c r="Q108" s="24"/>
      <c r="R108" s="24"/>
      <c r="S108" s="24"/>
      <c r="T108" s="24"/>
      <c r="U108" s="24"/>
      <c r="V108" s="24"/>
      <c r="W108" s="24"/>
      <c r="X108" s="24"/>
      <c r="Y108" s="24"/>
      <c r="Z108" s="24"/>
      <c r="AA108" s="24"/>
      <c r="AB108" s="200"/>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F108" s="144">
        <f t="shared" si="0"/>
        <v>0</v>
      </c>
      <c r="BH108" s="473" t="s">
        <v>1724</v>
      </c>
      <c r="BL108" s="417"/>
    </row>
    <row r="109" spans="1:66" ht="19.05" customHeight="1" thickTop="1" thickBot="1">
      <c r="A109" s="199"/>
      <c r="B109" s="24"/>
      <c r="C109" s="1280"/>
      <c r="D109" s="1281"/>
      <c r="E109" s="1281"/>
      <c r="F109" s="1281"/>
      <c r="G109" s="1282"/>
      <c r="H109" s="24"/>
      <c r="I109" s="1280"/>
      <c r="J109" s="1281"/>
      <c r="K109" s="1281"/>
      <c r="L109" s="1281"/>
      <c r="M109" s="1282"/>
      <c r="N109" s="200"/>
      <c r="O109" s="199"/>
      <c r="P109" s="24"/>
      <c r="Q109" s="24"/>
      <c r="R109" s="24"/>
      <c r="S109" s="24"/>
      <c r="T109" s="24"/>
      <c r="U109" s="24"/>
      <c r="V109" s="24"/>
      <c r="W109" s="24"/>
      <c r="X109" s="24"/>
      <c r="Y109" s="24"/>
      <c r="Z109" s="24"/>
      <c r="AA109" s="24"/>
      <c r="AB109" s="200"/>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F109" s="144">
        <f t="shared" si="0"/>
        <v>0</v>
      </c>
      <c r="BG109" s="2">
        <v>2</v>
      </c>
      <c r="BH109" s="472" t="s">
        <v>1717</v>
      </c>
      <c r="BL109" s="417">
        <f>IF($C108=$BH109,-1,IF($C108=$BH110,1,0))</f>
        <v>0</v>
      </c>
      <c r="BN109" s="417">
        <f>IF($I108=$BH109,-1,IF($I108=$BH110,1,0))</f>
        <v>0</v>
      </c>
    </row>
    <row r="110" spans="1:66" ht="19.05" customHeight="1" thickTop="1" thickBot="1">
      <c r="A110" s="199"/>
      <c r="B110" s="24"/>
      <c r="C110" s="1280"/>
      <c r="D110" s="1281"/>
      <c r="E110" s="1281"/>
      <c r="F110" s="1281"/>
      <c r="G110" s="1282"/>
      <c r="H110" s="24"/>
      <c r="I110" s="1280"/>
      <c r="J110" s="1281"/>
      <c r="K110" s="1281"/>
      <c r="L110" s="1281"/>
      <c r="M110" s="1282"/>
      <c r="N110" s="200"/>
      <c r="O110" s="199"/>
      <c r="P110" s="24"/>
      <c r="Q110" s="24"/>
      <c r="R110" s="24"/>
      <c r="S110" s="24"/>
      <c r="T110" s="24"/>
      <c r="U110" s="24"/>
      <c r="V110" s="24"/>
      <c r="W110" s="24"/>
      <c r="X110" s="24"/>
      <c r="Y110" s="24"/>
      <c r="Z110" s="24"/>
      <c r="AA110" s="24"/>
      <c r="AB110" s="200"/>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F110" s="144">
        <f t="shared" si="0"/>
        <v>0</v>
      </c>
      <c r="BH110" s="473" t="s">
        <v>1725</v>
      </c>
    </row>
    <row r="111" spans="1:66" ht="19.05" customHeight="1" thickTop="1" thickBot="1">
      <c r="A111" s="199"/>
      <c r="B111" s="24"/>
      <c r="C111" s="1280"/>
      <c r="D111" s="1281"/>
      <c r="E111" s="1281"/>
      <c r="F111" s="1281"/>
      <c r="G111" s="1282"/>
      <c r="H111" s="24"/>
      <c r="I111" s="1280"/>
      <c r="J111" s="1281"/>
      <c r="K111" s="1281"/>
      <c r="L111" s="1281"/>
      <c r="M111" s="1282"/>
      <c r="N111" s="200"/>
      <c r="O111" s="199"/>
      <c r="P111" s="24"/>
      <c r="Q111" s="24"/>
      <c r="R111" s="24"/>
      <c r="S111" s="24"/>
      <c r="T111" s="24"/>
      <c r="U111" s="24"/>
      <c r="V111" s="24"/>
      <c r="W111" s="24"/>
      <c r="X111" s="24"/>
      <c r="Y111" s="24"/>
      <c r="Z111" s="24"/>
      <c r="AA111" s="24"/>
      <c r="AB111" s="200"/>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F111" s="144">
        <f t="shared" si="0"/>
        <v>0</v>
      </c>
      <c r="BG111" s="2">
        <v>3</v>
      </c>
      <c r="BH111" s="472" t="s">
        <v>1726</v>
      </c>
      <c r="BL111" s="417">
        <f>IF($C109=$BH111,-1,IF($C109=$BH112,1,0))</f>
        <v>0</v>
      </c>
      <c r="BN111" s="417">
        <f>IF($I109=$BH111,-1,IF($I109=$BH112,1,0))</f>
        <v>0</v>
      </c>
    </row>
    <row r="112" spans="1:66" ht="19.05" customHeight="1" thickTop="1" thickBot="1">
      <c r="A112" s="199"/>
      <c r="B112" s="24"/>
      <c r="C112" s="1280"/>
      <c r="D112" s="1281"/>
      <c r="E112" s="1281"/>
      <c r="F112" s="1281"/>
      <c r="G112" s="1282"/>
      <c r="H112" s="24"/>
      <c r="I112" s="1280"/>
      <c r="J112" s="1281"/>
      <c r="K112" s="1281"/>
      <c r="L112" s="1281"/>
      <c r="M112" s="1282"/>
      <c r="N112" s="200"/>
      <c r="O112" s="199"/>
      <c r="P112" s="24"/>
      <c r="Q112" s="24"/>
      <c r="R112" s="24"/>
      <c r="S112" s="24"/>
      <c r="T112" s="24"/>
      <c r="U112" s="24"/>
      <c r="V112" s="24"/>
      <c r="W112" s="24"/>
      <c r="X112" s="24"/>
      <c r="Y112" s="24"/>
      <c r="Z112" s="24"/>
      <c r="AA112" s="24"/>
      <c r="AB112" s="200"/>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F112" s="144">
        <f t="shared" si="0"/>
        <v>0</v>
      </c>
      <c r="BH112" s="473" t="s">
        <v>1727</v>
      </c>
    </row>
    <row r="113" spans="1:66" ht="19.05" customHeight="1" thickTop="1" thickBot="1">
      <c r="A113" s="199"/>
      <c r="B113" s="24"/>
      <c r="C113" s="1280"/>
      <c r="D113" s="1281"/>
      <c r="E113" s="1281"/>
      <c r="F113" s="1281"/>
      <c r="G113" s="1282"/>
      <c r="H113" s="24"/>
      <c r="I113" s="1280"/>
      <c r="J113" s="1281"/>
      <c r="K113" s="1281"/>
      <c r="L113" s="1281"/>
      <c r="M113" s="1282"/>
      <c r="N113" s="200"/>
      <c r="O113" s="199"/>
      <c r="P113" s="24"/>
      <c r="Q113" s="24"/>
      <c r="R113" s="24"/>
      <c r="S113" s="24"/>
      <c r="T113" s="24"/>
      <c r="U113" s="24"/>
      <c r="V113" s="24"/>
      <c r="W113" s="24"/>
      <c r="X113" s="24"/>
      <c r="Y113" s="24"/>
      <c r="Z113" s="24"/>
      <c r="AA113" s="24"/>
      <c r="AB113" s="200"/>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F113" s="144">
        <f t="shared" si="0"/>
        <v>0</v>
      </c>
      <c r="BG113" s="2">
        <v>4</v>
      </c>
      <c r="BH113" s="472" t="s">
        <v>1718</v>
      </c>
      <c r="BL113" s="417">
        <f>IF($C110=$BH113,-1,IF($C110=$BH114,1,0))</f>
        <v>0</v>
      </c>
      <c r="BN113" s="417">
        <f>IF($I110=$BH113,-1,IF($I110=$BH114,1,0))</f>
        <v>0</v>
      </c>
    </row>
    <row r="114" spans="1:66" ht="19.05" customHeight="1" thickTop="1" thickBot="1">
      <c r="A114" s="199"/>
      <c r="B114" s="24"/>
      <c r="C114" s="1280"/>
      <c r="D114" s="1281"/>
      <c r="E114" s="1281"/>
      <c r="F114" s="1281"/>
      <c r="G114" s="1282"/>
      <c r="H114" s="24"/>
      <c r="I114" s="1280"/>
      <c r="J114" s="1281"/>
      <c r="K114" s="1281"/>
      <c r="L114" s="1281"/>
      <c r="M114" s="1282"/>
      <c r="N114" s="200"/>
      <c r="O114" s="199"/>
      <c r="P114" s="24"/>
      <c r="Q114" s="24"/>
      <c r="R114" s="24"/>
      <c r="S114" s="24"/>
      <c r="T114" s="24"/>
      <c r="U114" s="24"/>
      <c r="V114" s="24"/>
      <c r="W114" s="24"/>
      <c r="X114" s="24"/>
      <c r="Y114" s="24"/>
      <c r="Z114" s="24"/>
      <c r="AA114" s="24"/>
      <c r="AB114" s="200"/>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F114" s="144">
        <f t="shared" si="0"/>
        <v>0</v>
      </c>
      <c r="BH114" s="473" t="s">
        <v>1719</v>
      </c>
    </row>
    <row r="115" spans="1:66" ht="19.95" customHeight="1" thickTop="1">
      <c r="A115" s="199"/>
      <c r="B115" s="24"/>
      <c r="C115" s="24"/>
      <c r="D115" s="24"/>
      <c r="E115" s="24"/>
      <c r="F115" s="24"/>
      <c r="G115" s="24"/>
      <c r="H115" s="24"/>
      <c r="I115" s="24"/>
      <c r="J115" s="24"/>
      <c r="K115" s="24"/>
      <c r="L115" s="24"/>
      <c r="M115" s="24"/>
      <c r="N115" s="24"/>
      <c r="O115" s="199"/>
      <c r="P115" s="24"/>
      <c r="Q115" s="24"/>
      <c r="R115" s="24"/>
      <c r="S115" s="24"/>
      <c r="T115" s="24"/>
      <c r="U115" s="24"/>
      <c r="V115" s="24"/>
      <c r="W115" s="24"/>
      <c r="X115" s="24"/>
      <c r="Y115" s="24"/>
      <c r="Z115" s="24"/>
      <c r="AA115" s="24"/>
      <c r="AB115" s="200"/>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F115" s="2">
        <f t="shared" ref="BF115:BF122" si="1">IF(I107="",0,1)</f>
        <v>0</v>
      </c>
      <c r="BG115" s="2">
        <v>5</v>
      </c>
      <c r="BH115" s="472" t="s">
        <v>1720</v>
      </c>
      <c r="BL115" s="417">
        <f>IF($C111=$BH115,-1,IF($C111=$BH116,1,0))</f>
        <v>0</v>
      </c>
      <c r="BN115" s="417">
        <f>IF($I111=$BH115,-1,IF($I111=$BH116,1,0))</f>
        <v>0</v>
      </c>
    </row>
    <row r="116" spans="1:66" ht="30" customHeight="1">
      <c r="A116" s="199"/>
      <c r="B116" s="1306" t="str">
        <f>IF(H99="",BH92,BH84)</f>
        <v>We simplify your outlook as primarily conservative. No need to complete this.</v>
      </c>
      <c r="C116" s="1306"/>
      <c r="D116" s="1306"/>
      <c r="E116" s="1306"/>
      <c r="F116" s="1306"/>
      <c r="G116" s="1306"/>
      <c r="H116" s="1306" t="str">
        <f>IF(H97="",BH94,BH85)</f>
        <v>We simplify your client's outlook as primarily liberal. No need to fill out.</v>
      </c>
      <c r="I116" s="1306"/>
      <c r="J116" s="1306"/>
      <c r="K116" s="1306"/>
      <c r="L116" s="1306"/>
      <c r="M116" s="1306"/>
      <c r="N116" s="200"/>
      <c r="O116" s="199"/>
      <c r="P116" s="24"/>
      <c r="Q116" s="24"/>
      <c r="R116" s="24"/>
      <c r="S116" s="24"/>
      <c r="T116" s="24"/>
      <c r="U116" s="24"/>
      <c r="V116" s="24"/>
      <c r="W116" s="24"/>
      <c r="X116" s="24"/>
      <c r="Y116" s="24"/>
      <c r="Z116" s="24"/>
      <c r="AA116" s="24"/>
      <c r="AB116" s="200"/>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F116" s="2">
        <f t="shared" si="1"/>
        <v>0</v>
      </c>
      <c r="BH116" s="473" t="s">
        <v>1721</v>
      </c>
    </row>
    <row r="117" spans="1:66" ht="30" customHeight="1">
      <c r="A117" s="199"/>
      <c r="B117" s="1306"/>
      <c r="C117" s="1306"/>
      <c r="D117" s="1306"/>
      <c r="E117" s="1306"/>
      <c r="F117" s="1306"/>
      <c r="G117" s="1306"/>
      <c r="H117" s="1306"/>
      <c r="I117" s="1306"/>
      <c r="J117" s="1306"/>
      <c r="K117" s="1306"/>
      <c r="L117" s="1306"/>
      <c r="M117" s="1306"/>
      <c r="N117" s="200"/>
      <c r="O117" s="199"/>
      <c r="P117" s="24"/>
      <c r="Q117" s="24"/>
      <c r="R117" s="24"/>
      <c r="S117" s="24"/>
      <c r="T117" s="24"/>
      <c r="U117" s="24"/>
      <c r="V117" s="24"/>
      <c r="W117" s="24"/>
      <c r="X117" s="24"/>
      <c r="Y117" s="24"/>
      <c r="Z117" s="24"/>
      <c r="AA117" s="24"/>
      <c r="AB117" s="200"/>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F117" s="2">
        <f t="shared" si="1"/>
        <v>0</v>
      </c>
      <c r="BG117" s="2">
        <v>6</v>
      </c>
      <c r="BH117" s="472" t="s">
        <v>1722</v>
      </c>
      <c r="BL117" s="417">
        <f>IF($C112=$BH117,-1,IF($C112=$BH118,1,0))</f>
        <v>0</v>
      </c>
      <c r="BN117" s="417">
        <f>IF($I112=$BH117,-1,IF($I112=$BH118,1,0))</f>
        <v>0</v>
      </c>
    </row>
    <row r="118" spans="1:66" ht="21" customHeight="1">
      <c r="A118" s="199"/>
      <c r="B118" s="1277" t="s">
        <v>1746</v>
      </c>
      <c r="C118" s="1277"/>
      <c r="D118" s="1277"/>
      <c r="E118" s="1277"/>
      <c r="F118" s="1277"/>
      <c r="G118" s="1277"/>
      <c r="H118" s="1277"/>
      <c r="I118" s="1277"/>
      <c r="J118" s="1277"/>
      <c r="K118" s="1277"/>
      <c r="L118" s="1277"/>
      <c r="M118" s="1277"/>
      <c r="N118" s="200"/>
      <c r="O118" s="199"/>
      <c r="P118" s="24"/>
      <c r="Q118" s="24"/>
      <c r="R118" s="24"/>
      <c r="S118" s="24"/>
      <c r="T118" s="24"/>
      <c r="U118" s="24"/>
      <c r="V118" s="24"/>
      <c r="W118" s="24"/>
      <c r="X118" s="24"/>
      <c r="Y118" s="24"/>
      <c r="Z118" s="24"/>
      <c r="AA118" s="24"/>
      <c r="AB118" s="200"/>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F118" s="2">
        <f t="shared" si="1"/>
        <v>0</v>
      </c>
      <c r="BH118" s="473" t="s">
        <v>1723</v>
      </c>
    </row>
    <row r="119" spans="1:66" ht="21" customHeight="1">
      <c r="A119" s="199"/>
      <c r="B119" s="1277"/>
      <c r="C119" s="1277"/>
      <c r="D119" s="1277"/>
      <c r="E119" s="1277"/>
      <c r="F119" s="1277"/>
      <c r="G119" s="1277"/>
      <c r="H119" s="1277"/>
      <c r="I119" s="1277"/>
      <c r="J119" s="1277"/>
      <c r="K119" s="1277"/>
      <c r="L119" s="1277"/>
      <c r="M119" s="1277"/>
      <c r="N119" s="200"/>
      <c r="O119" s="199"/>
      <c r="P119" s="24"/>
      <c r="Q119" s="24"/>
      <c r="R119" s="24"/>
      <c r="S119" s="24"/>
      <c r="T119" s="24"/>
      <c r="U119" s="24"/>
      <c r="V119" s="24"/>
      <c r="W119" s="24"/>
      <c r="X119" s="24"/>
      <c r="Y119" s="24"/>
      <c r="Z119" s="24"/>
      <c r="AA119" s="24"/>
      <c r="AB119" s="200"/>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F119" s="2">
        <f t="shared" si="1"/>
        <v>0</v>
      </c>
      <c r="BG119" s="2">
        <v>7</v>
      </c>
      <c r="BH119" s="472" t="s">
        <v>1716</v>
      </c>
      <c r="BL119" s="417">
        <f>IF($C113=$BH119,-1,IF($C113=$BH120,1,0))</f>
        <v>0</v>
      </c>
      <c r="BN119" s="417">
        <f>IF($I113=$BH119,-1,IF($I113=$BH120,1,0))</f>
        <v>0</v>
      </c>
    </row>
    <row r="120" spans="1:66" ht="21" customHeight="1">
      <c r="A120" s="199"/>
      <c r="B120" s="1277"/>
      <c r="C120" s="1277"/>
      <c r="D120" s="1277"/>
      <c r="E120" s="1277"/>
      <c r="F120" s="1277"/>
      <c r="G120" s="1277"/>
      <c r="H120" s="1277"/>
      <c r="I120" s="1277"/>
      <c r="J120" s="1277"/>
      <c r="K120" s="1277"/>
      <c r="L120" s="1277"/>
      <c r="M120" s="1277"/>
      <c r="N120" s="200"/>
      <c r="O120" s="199"/>
      <c r="P120" s="24"/>
      <c r="Q120" s="24"/>
      <c r="R120" s="24"/>
      <c r="S120" s="24"/>
      <c r="T120" s="24"/>
      <c r="U120" s="24"/>
      <c r="V120" s="24"/>
      <c r="W120" s="24"/>
      <c r="X120" s="24"/>
      <c r="Y120" s="24"/>
      <c r="Z120" s="24"/>
      <c r="AA120" s="24"/>
      <c r="AB120" s="200"/>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F120" s="2">
        <f t="shared" si="1"/>
        <v>0</v>
      </c>
      <c r="BH120" s="473" t="s">
        <v>1715</v>
      </c>
    </row>
    <row r="121" spans="1:66" ht="21" customHeight="1">
      <c r="A121" s="199"/>
      <c r="B121" s="1277"/>
      <c r="C121" s="1277"/>
      <c r="D121" s="1277"/>
      <c r="E121" s="1277"/>
      <c r="F121" s="1277"/>
      <c r="G121" s="1277"/>
      <c r="H121" s="1277"/>
      <c r="I121" s="1277"/>
      <c r="J121" s="1277"/>
      <c r="K121" s="1277"/>
      <c r="L121" s="1277"/>
      <c r="M121" s="1277"/>
      <c r="N121" s="200"/>
      <c r="O121" s="199"/>
      <c r="P121" s="24"/>
      <c r="Q121" s="24"/>
      <c r="R121" s="24"/>
      <c r="S121" s="24"/>
      <c r="T121" s="24"/>
      <c r="U121" s="24"/>
      <c r="V121" s="24"/>
      <c r="W121" s="24"/>
      <c r="X121" s="24"/>
      <c r="Y121" s="24"/>
      <c r="Z121" s="24"/>
      <c r="AA121" s="24"/>
      <c r="AB121" s="200"/>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F121" s="2">
        <f t="shared" si="1"/>
        <v>0</v>
      </c>
      <c r="BG121" s="2">
        <v>8</v>
      </c>
      <c r="BH121" s="472" t="s">
        <v>1728</v>
      </c>
      <c r="BL121" s="417">
        <f>IF($C114=$BH121,-1,IF($C114=$BH122,1,0))</f>
        <v>0</v>
      </c>
      <c r="BN121" s="417">
        <f>IF($I114=$BH121,-1,IF($I114=$BH122,1,0))</f>
        <v>0</v>
      </c>
    </row>
    <row r="122" spans="1:66" ht="21" customHeight="1">
      <c r="A122" s="199"/>
      <c r="B122" s="1277"/>
      <c r="C122" s="1277"/>
      <c r="D122" s="1277"/>
      <c r="E122" s="1277"/>
      <c r="F122" s="1277"/>
      <c r="G122" s="1277"/>
      <c r="H122" s="1277"/>
      <c r="I122" s="1277"/>
      <c r="J122" s="1277"/>
      <c r="K122" s="1277"/>
      <c r="L122" s="1277"/>
      <c r="M122" s="1277"/>
      <c r="N122" s="200"/>
      <c r="O122" s="199"/>
      <c r="P122" s="24"/>
      <c r="Q122" s="24"/>
      <c r="R122" s="24"/>
      <c r="S122" s="24"/>
      <c r="T122" s="24"/>
      <c r="U122" s="24"/>
      <c r="V122" s="24"/>
      <c r="W122" s="24"/>
      <c r="X122" s="24"/>
      <c r="Y122" s="24"/>
      <c r="Z122" s="24"/>
      <c r="AA122" s="24"/>
      <c r="AB122" s="200"/>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F122" s="2">
        <f t="shared" si="1"/>
        <v>0</v>
      </c>
      <c r="BH122" s="473" t="s">
        <v>1729</v>
      </c>
    </row>
    <row r="123" spans="1:66" ht="22.05" customHeight="1">
      <c r="A123" s="199"/>
      <c r="B123" s="1277"/>
      <c r="C123" s="1277"/>
      <c r="D123" s="1277"/>
      <c r="E123" s="1277"/>
      <c r="F123" s="1277"/>
      <c r="G123" s="1277"/>
      <c r="H123" s="1277"/>
      <c r="I123" s="1277"/>
      <c r="J123" s="1277"/>
      <c r="K123" s="1277"/>
      <c r="L123" s="1277"/>
      <c r="M123" s="1277"/>
      <c r="N123" s="200"/>
      <c r="O123" s="199"/>
      <c r="P123" s="24"/>
      <c r="Q123" s="24"/>
      <c r="R123" s="24"/>
      <c r="S123" s="24"/>
      <c r="T123" s="24"/>
      <c r="U123" s="24"/>
      <c r="V123" s="24"/>
      <c r="W123" s="24"/>
      <c r="X123" s="24"/>
      <c r="Y123" s="24"/>
      <c r="Z123" s="24"/>
      <c r="AA123" s="24"/>
      <c r="AB123" s="200"/>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F123" s="139">
        <f>SUM(BF115:BF122)</f>
        <v>0</v>
      </c>
      <c r="BH123" s="474" t="str">
        <f>B1105</f>
        <v>LIBERAL</v>
      </c>
      <c r="BI123" s="474"/>
      <c r="BJ123" s="2" t="s">
        <v>49</v>
      </c>
      <c r="BL123" s="37">
        <f>SUM(BL107:BL122)</f>
        <v>0</v>
      </c>
      <c r="BN123" s="37">
        <f>SUM(BN107:BN122)</f>
        <v>0</v>
      </c>
    </row>
    <row r="124" spans="1:66" ht="7.05" customHeight="1">
      <c r="A124" s="199"/>
      <c r="B124" s="1277"/>
      <c r="C124" s="1277"/>
      <c r="D124" s="1277"/>
      <c r="E124" s="1277"/>
      <c r="F124" s="1277"/>
      <c r="G124" s="1277"/>
      <c r="H124" s="1277"/>
      <c r="I124" s="1277"/>
      <c r="J124" s="1277"/>
      <c r="K124" s="1277"/>
      <c r="L124" s="1277"/>
      <c r="M124" s="1277"/>
      <c r="N124" s="200"/>
      <c r="O124" s="199"/>
      <c r="P124" s="24"/>
      <c r="Q124" s="24"/>
      <c r="R124" s="24"/>
      <c r="S124" s="24"/>
      <c r="T124" s="24"/>
      <c r="U124" s="24"/>
      <c r="V124" s="24"/>
      <c r="W124" s="24"/>
      <c r="X124" s="24"/>
      <c r="Y124" s="24"/>
      <c r="Z124" s="24"/>
      <c r="AA124" s="24"/>
      <c r="AB124" s="200"/>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H124" s="475" t="str">
        <f>B1112</f>
        <v>CONSERVATIVE</v>
      </c>
      <c r="BI124" s="475"/>
      <c r="BJ124" s="2" t="s">
        <v>50</v>
      </c>
      <c r="BL124" s="2" t="str">
        <f>IF(BL$123&lt;0,$BJ$123,IF(BL$123&gt;0,$BJ$124,IF(BL$123=0,$BJ$125)))</f>
        <v>independent</v>
      </c>
      <c r="BN124" s="2" t="str">
        <f>IF(BN123&lt;0,$BJ123,IF(BN123&gt;0,$BJ124,IF(BN123=0,$BJ125)))</f>
        <v>independent</v>
      </c>
    </row>
    <row r="125" spans="1:66" ht="7.05" customHeight="1">
      <c r="A125" s="199"/>
      <c r="B125" s="24"/>
      <c r="C125" s="24"/>
      <c r="D125" s="24"/>
      <c r="E125" s="24"/>
      <c r="F125" s="24"/>
      <c r="G125" s="24"/>
      <c r="H125" s="24"/>
      <c r="I125" s="24"/>
      <c r="J125" s="24"/>
      <c r="K125" s="24"/>
      <c r="L125" s="24"/>
      <c r="M125" s="24"/>
      <c r="N125" s="200"/>
      <c r="O125" s="199"/>
      <c r="P125" s="24"/>
      <c r="Q125" s="24"/>
      <c r="R125" s="24"/>
      <c r="S125" s="24"/>
      <c r="T125" s="24"/>
      <c r="U125" s="24"/>
      <c r="V125" s="24"/>
      <c r="W125" s="24"/>
      <c r="X125" s="24"/>
      <c r="Y125" s="24"/>
      <c r="Z125" s="24"/>
      <c r="AA125" s="24"/>
      <c r="AB125" s="200"/>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H125" s="477" t="str">
        <f>B1110</f>
        <v>INDEPENDENT</v>
      </c>
      <c r="BI125" s="476"/>
      <c r="BJ125" s="2" t="s">
        <v>1735</v>
      </c>
      <c r="BL125" s="2" t="str">
        <f>IF(BL$123&lt;0,$BJ$124,IF(BL$123&gt;0,$BJ$123,IF(BL$123=0,$BJ$125)))</f>
        <v>independent</v>
      </c>
      <c r="BN125" s="2" t="str">
        <f>IF(BN$123&lt;0,$BJ$124,IF(BN$123&gt;0,$BJ$123,IF(BN$123=0,$BJ$125)))</f>
        <v>independent</v>
      </c>
    </row>
    <row r="126" spans="1:66" ht="30" customHeight="1">
      <c r="A126" s="210" t="s">
        <v>1148</v>
      </c>
      <c r="B126" s="1286" t="s">
        <v>1263</v>
      </c>
      <c r="C126" s="1286"/>
      <c r="D126" s="1286"/>
      <c r="E126" s="1286"/>
      <c r="F126" s="1286"/>
      <c r="G126" s="1286"/>
      <c r="H126" s="1286"/>
      <c r="I126" s="1286"/>
      <c r="J126" s="1286"/>
      <c r="K126" s="1286"/>
      <c r="L126" s="1286"/>
      <c r="M126" s="1286"/>
      <c r="N126" s="211" t="s">
        <v>1149</v>
      </c>
      <c r="O126" s="210"/>
      <c r="P126" s="198"/>
      <c r="Q126" s="198"/>
      <c r="R126" s="198"/>
      <c r="S126" s="198"/>
      <c r="T126" s="198"/>
      <c r="U126" s="198"/>
      <c r="V126" s="198"/>
      <c r="W126" s="198"/>
      <c r="X126" s="198"/>
      <c r="Y126" s="198"/>
      <c r="Z126" s="198"/>
      <c r="AA126" s="198"/>
      <c r="AB126" s="211" t="s">
        <v>1149</v>
      </c>
      <c r="AC126" s="577"/>
      <c r="AD126" s="577"/>
      <c r="AE126" s="577"/>
      <c r="AF126" s="577"/>
      <c r="AG126" s="577"/>
      <c r="AH126" s="577"/>
      <c r="AI126" s="577"/>
      <c r="AJ126" s="577"/>
      <c r="AK126" s="577"/>
      <c r="AL126" s="577"/>
      <c r="AM126" s="577"/>
      <c r="AN126" s="577"/>
      <c r="AO126" s="577"/>
      <c r="AP126" s="577"/>
      <c r="AQ126" s="577"/>
      <c r="AR126" s="577"/>
      <c r="AS126" s="577"/>
      <c r="AT126" s="577"/>
      <c r="AU126" s="577"/>
      <c r="AV126" s="577"/>
      <c r="AW126" s="577"/>
      <c r="AX126" s="577"/>
      <c r="AY126" s="577"/>
    </row>
    <row r="127" spans="1:66" ht="10.050000000000001" customHeight="1">
      <c r="A127" s="199"/>
      <c r="B127" s="24"/>
      <c r="C127" s="24"/>
      <c r="D127" s="24"/>
      <c r="E127" s="24"/>
      <c r="F127" s="24"/>
      <c r="G127" s="24"/>
      <c r="H127" s="24"/>
      <c r="I127" s="24"/>
      <c r="J127" s="24"/>
      <c r="K127" s="24"/>
      <c r="L127" s="24"/>
      <c r="M127" s="24"/>
      <c r="N127" s="200"/>
      <c r="O127" s="199"/>
      <c r="P127" s="24"/>
      <c r="Q127" s="24"/>
      <c r="R127" s="24"/>
      <c r="S127" s="24"/>
      <c r="T127" s="24"/>
      <c r="U127" s="24"/>
      <c r="V127" s="24"/>
      <c r="W127" s="24"/>
      <c r="X127" s="24"/>
      <c r="Y127" s="24"/>
      <c r="Z127" s="24"/>
      <c r="AA127" s="24"/>
      <c r="AB127" s="200"/>
      <c r="AC127" s="1"/>
      <c r="AD127" s="1"/>
      <c r="AE127" s="1"/>
      <c r="AF127" s="1"/>
      <c r="AG127" s="1"/>
      <c r="AH127" s="1"/>
      <c r="AI127" s="1"/>
      <c r="AJ127" s="1"/>
      <c r="AK127" s="1"/>
      <c r="AL127" s="1"/>
      <c r="AM127" s="1"/>
      <c r="AN127" s="1"/>
      <c r="AO127" s="1"/>
      <c r="AP127" s="1"/>
      <c r="AQ127" s="1"/>
      <c r="AR127" s="1"/>
      <c r="AS127" s="1"/>
      <c r="AT127" s="1"/>
      <c r="AU127" s="1"/>
      <c r="AV127" s="1"/>
      <c r="AW127" s="1"/>
      <c r="AX127" s="1"/>
      <c r="AY127" s="1"/>
    </row>
    <row r="128" spans="1:66" ht="19.95" customHeight="1">
      <c r="A128" s="199"/>
      <c r="B128" s="1277" t="s">
        <v>1264</v>
      </c>
      <c r="C128" s="1277"/>
      <c r="D128" s="1277"/>
      <c r="E128" s="1277"/>
      <c r="F128" s="1277"/>
      <c r="G128" s="1277"/>
      <c r="H128" s="1277"/>
      <c r="I128" s="1277"/>
      <c r="J128" s="1277"/>
      <c r="K128" s="1277"/>
      <c r="L128" s="1277"/>
      <c r="M128" s="1277"/>
      <c r="N128" s="200"/>
      <c r="O128" s="199"/>
      <c r="P128" s="24"/>
      <c r="Q128" s="24"/>
      <c r="R128" s="24"/>
      <c r="S128" s="24"/>
      <c r="T128" s="24"/>
      <c r="U128" s="24"/>
      <c r="V128" s="24"/>
      <c r="W128" s="24"/>
      <c r="X128" s="24"/>
      <c r="Y128" s="24"/>
      <c r="Z128" s="24"/>
      <c r="AA128" s="24"/>
      <c r="AB128" s="200"/>
      <c r="AC128" s="1"/>
      <c r="AD128" s="1"/>
      <c r="AE128" s="1"/>
      <c r="AF128" s="1"/>
      <c r="AG128" s="1"/>
      <c r="AH128" s="1"/>
      <c r="AI128" s="1"/>
      <c r="AJ128" s="1"/>
      <c r="AK128" s="1"/>
      <c r="AL128" s="1"/>
      <c r="AM128" s="1"/>
      <c r="AN128" s="1"/>
      <c r="AO128" s="1"/>
      <c r="AP128" s="1"/>
      <c r="AQ128" s="1"/>
      <c r="AR128" s="1"/>
      <c r="AS128" s="1"/>
      <c r="AT128" s="1"/>
      <c r="AU128" s="1"/>
      <c r="AV128" s="1"/>
      <c r="AW128" s="1"/>
      <c r="AX128" s="1"/>
      <c r="AY128" s="1"/>
    </row>
    <row r="129" spans="1:62" ht="19.95" customHeight="1">
      <c r="A129" s="199"/>
      <c r="B129" s="1277"/>
      <c r="C129" s="1277"/>
      <c r="D129" s="1277"/>
      <c r="E129" s="1277"/>
      <c r="F129" s="1277"/>
      <c r="G129" s="1277"/>
      <c r="H129" s="1277"/>
      <c r="I129" s="1277"/>
      <c r="J129" s="1277"/>
      <c r="K129" s="1277"/>
      <c r="L129" s="1277"/>
      <c r="M129" s="1277"/>
      <c r="N129" s="200"/>
      <c r="O129" s="199"/>
      <c r="P129" s="24"/>
      <c r="Q129" s="24"/>
      <c r="R129" s="24"/>
      <c r="S129" s="24"/>
      <c r="T129" s="24"/>
      <c r="U129" s="24"/>
      <c r="V129" s="24"/>
      <c r="W129" s="24"/>
      <c r="X129" s="24"/>
      <c r="Y129" s="24"/>
      <c r="Z129" s="24"/>
      <c r="AA129" s="24"/>
      <c r="AB129" s="200"/>
      <c r="AC129" s="1"/>
      <c r="AD129" s="1"/>
      <c r="AE129" s="1"/>
      <c r="AF129" s="1"/>
      <c r="AG129" s="1"/>
      <c r="AH129" s="1"/>
      <c r="AI129" s="1"/>
      <c r="AJ129" s="1"/>
      <c r="AK129" s="1"/>
      <c r="AL129" s="1"/>
      <c r="AM129" s="1"/>
      <c r="AN129" s="1"/>
      <c r="AO129" s="1"/>
      <c r="AP129" s="1"/>
      <c r="AQ129" s="1"/>
      <c r="AR129" s="1"/>
      <c r="AS129" s="1"/>
      <c r="AT129" s="1"/>
      <c r="AU129" s="1"/>
      <c r="AV129" s="1"/>
      <c r="AW129" s="1"/>
      <c r="AX129" s="1"/>
      <c r="AY129" s="1"/>
    </row>
    <row r="130" spans="1:62" ht="19.95" customHeight="1">
      <c r="A130" s="199"/>
      <c r="B130" s="1277"/>
      <c r="C130" s="1277"/>
      <c r="D130" s="1277"/>
      <c r="E130" s="1277"/>
      <c r="F130" s="1277"/>
      <c r="G130" s="1277"/>
      <c r="H130" s="1277"/>
      <c r="I130" s="1277"/>
      <c r="J130" s="1277"/>
      <c r="K130" s="1277"/>
      <c r="L130" s="1277"/>
      <c r="M130" s="1277"/>
      <c r="N130" s="200"/>
      <c r="O130" s="199"/>
      <c r="P130" s="24"/>
      <c r="Q130" s="24"/>
      <c r="R130" s="24"/>
      <c r="S130" s="24"/>
      <c r="T130" s="24"/>
      <c r="U130" s="24"/>
      <c r="V130" s="24"/>
      <c r="W130" s="24"/>
      <c r="X130" s="24"/>
      <c r="Y130" s="24"/>
      <c r="Z130" s="24"/>
      <c r="AA130" s="24"/>
      <c r="AB130" s="200"/>
      <c r="AC130" s="1"/>
      <c r="AD130" s="1"/>
      <c r="AE130" s="1"/>
      <c r="AF130" s="1"/>
      <c r="AG130" s="1"/>
      <c r="AH130" s="1"/>
      <c r="AI130" s="1"/>
      <c r="AJ130" s="1"/>
      <c r="AK130" s="1"/>
      <c r="AL130" s="1"/>
      <c r="AM130" s="1"/>
      <c r="AN130" s="1"/>
      <c r="AO130" s="1"/>
      <c r="AP130" s="1"/>
      <c r="AQ130" s="1"/>
      <c r="AR130" s="1"/>
      <c r="AS130" s="1"/>
      <c r="AT130" s="1"/>
      <c r="AU130" s="1"/>
      <c r="AV130" s="1"/>
      <c r="AW130" s="1"/>
      <c r="AX130" s="1"/>
      <c r="AY130" s="1"/>
    </row>
    <row r="131" spans="1:62" ht="19.95" customHeight="1">
      <c r="A131" s="199"/>
      <c r="B131" s="1277"/>
      <c r="C131" s="1277"/>
      <c r="D131" s="1277"/>
      <c r="E131" s="1277"/>
      <c r="F131" s="1277"/>
      <c r="G131" s="1277"/>
      <c r="H131" s="1277"/>
      <c r="I131" s="1277"/>
      <c r="J131" s="1277"/>
      <c r="K131" s="1277"/>
      <c r="L131" s="1277"/>
      <c r="M131" s="1277"/>
      <c r="N131" s="200"/>
      <c r="O131" s="199"/>
      <c r="P131" s="24"/>
      <c r="Q131" s="24"/>
      <c r="R131" s="24"/>
      <c r="S131" s="24"/>
      <c r="T131" s="24"/>
      <c r="U131" s="24"/>
      <c r="V131" s="24"/>
      <c r="W131" s="24"/>
      <c r="X131" s="24"/>
      <c r="Y131" s="24"/>
      <c r="Z131" s="24"/>
      <c r="AA131" s="24"/>
      <c r="AB131" s="200"/>
      <c r="AC131" s="1"/>
      <c r="AD131" s="1"/>
      <c r="AE131" s="1"/>
      <c r="AF131" s="1"/>
      <c r="AG131" s="1"/>
      <c r="AH131" s="1"/>
      <c r="AI131" s="1"/>
      <c r="AJ131" s="1"/>
      <c r="AK131" s="1"/>
      <c r="AL131" s="1"/>
      <c r="AM131" s="1"/>
      <c r="AN131" s="1"/>
      <c r="AO131" s="1"/>
      <c r="AP131" s="1"/>
      <c r="AQ131" s="1"/>
      <c r="AR131" s="1"/>
      <c r="AS131" s="1"/>
      <c r="AT131" s="1"/>
      <c r="AU131" s="1"/>
      <c r="AV131" s="1"/>
      <c r="AW131" s="1"/>
      <c r="AX131" s="1"/>
      <c r="AY131" s="1"/>
    </row>
    <row r="132" spans="1:62" ht="4.95" customHeight="1">
      <c r="A132" s="199"/>
      <c r="B132" s="391"/>
      <c r="C132" s="391"/>
      <c r="D132" s="391"/>
      <c r="E132" s="391"/>
      <c r="F132" s="391"/>
      <c r="G132" s="391"/>
      <c r="H132" s="391"/>
      <c r="I132" s="391"/>
      <c r="J132" s="391"/>
      <c r="K132" s="391"/>
      <c r="L132" s="391"/>
      <c r="M132" s="391"/>
      <c r="N132" s="200"/>
      <c r="O132" s="199"/>
      <c r="P132" s="24"/>
      <c r="Q132" s="24"/>
      <c r="R132" s="24"/>
      <c r="S132" s="24"/>
      <c r="T132" s="24"/>
      <c r="U132" s="24"/>
      <c r="V132" s="24"/>
      <c r="W132" s="24"/>
      <c r="X132" s="24"/>
      <c r="Y132" s="24"/>
      <c r="Z132" s="24"/>
      <c r="AA132" s="24"/>
      <c r="AB132" s="200"/>
      <c r="AC132" s="1"/>
      <c r="AD132" s="1"/>
      <c r="AE132" s="1"/>
      <c r="AF132" s="1"/>
      <c r="AG132" s="1"/>
      <c r="AH132" s="1"/>
      <c r="AI132" s="1"/>
      <c r="AJ132" s="1"/>
      <c r="AK132" s="1"/>
      <c r="AL132" s="1"/>
      <c r="AM132" s="1"/>
      <c r="AN132" s="1"/>
      <c r="AO132" s="1"/>
      <c r="AP132" s="1"/>
      <c r="AQ132" s="1"/>
      <c r="AR132" s="1"/>
      <c r="AS132" s="1"/>
      <c r="AT132" s="1"/>
      <c r="AU132" s="1"/>
      <c r="AV132" s="1"/>
      <c r="AW132" s="1"/>
      <c r="AX132" s="1"/>
      <c r="AY132" s="1"/>
    </row>
    <row r="133" spans="1:62" ht="19.95" customHeight="1">
      <c r="A133" s="199"/>
      <c r="B133" s="1277" t="str">
        <f>BF133</f>
        <v xml:space="preserve">For starters, politics provides you and your clients a popular way to convey your affected priority of needs. If you expect your client to experience the same priority of needs as you, and your client expresses opposing political views, you risk countertransference. You risk rejecting your client, who may then reject you.
</v>
      </c>
      <c r="C133" s="1277"/>
      <c r="D133" s="1277"/>
      <c r="E133" s="1277"/>
      <c r="F133" s="1277"/>
      <c r="G133" s="1277"/>
      <c r="H133" s="1277"/>
      <c r="I133" s="1277"/>
      <c r="J133" s="1277"/>
      <c r="K133" s="1277"/>
      <c r="L133" s="1277"/>
      <c r="M133" s="1277"/>
      <c r="N133" s="200"/>
      <c r="O133" s="199"/>
      <c r="P133" s="24"/>
      <c r="Q133" s="24"/>
      <c r="R133" s="24"/>
      <c r="S133" s="24"/>
      <c r="T133" s="24"/>
      <c r="U133" s="24"/>
      <c r="V133" s="24"/>
      <c r="W133" s="24"/>
      <c r="X133" s="24"/>
      <c r="Y133" s="24"/>
      <c r="Z133" s="24"/>
      <c r="AA133" s="24"/>
      <c r="AB133" s="200"/>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BF133" s="37" t="str">
        <f>CONCATENATE(BH133,BI133,BJ133,BK133)</f>
        <v xml:space="preserve">For starters, politics provides you and your clients a popular way to convey your affected priority of needs. If you expect your client to experience the same priority of needs as you, and your client expresses opposing political views, you risk countertransference. You risk rejecting your client, who may then reject you.
</v>
      </c>
      <c r="BH133" s="406" t="s">
        <v>1371</v>
      </c>
      <c r="BI133" s="2" t="str">
        <f>IF(OR(H97="",H99=""),"vehement",B1120)</f>
        <v>opposing</v>
      </c>
      <c r="BJ133" s="46" t="s">
        <v>1372</v>
      </c>
    </row>
    <row r="134" spans="1:62" ht="19.95" customHeight="1">
      <c r="A134" s="199"/>
      <c r="B134" s="1277"/>
      <c r="C134" s="1277"/>
      <c r="D134" s="1277"/>
      <c r="E134" s="1277"/>
      <c r="F134" s="1277"/>
      <c r="G134" s="1277"/>
      <c r="H134" s="1277"/>
      <c r="I134" s="1277"/>
      <c r="J134" s="1277"/>
      <c r="K134" s="1277"/>
      <c r="L134" s="1277"/>
      <c r="M134" s="1277"/>
      <c r="N134" s="200"/>
      <c r="O134" s="199"/>
      <c r="P134" s="24"/>
      <c r="Q134" s="24"/>
      <c r="R134" s="24"/>
      <c r="S134" s="24"/>
      <c r="T134" s="24"/>
      <c r="U134" s="24"/>
      <c r="V134" s="24"/>
      <c r="W134" s="24"/>
      <c r="X134" s="24"/>
      <c r="Y134" s="24"/>
      <c r="Z134" s="24"/>
      <c r="AA134" s="24"/>
      <c r="AB134" s="200"/>
      <c r="AC134" s="1"/>
      <c r="AD134" s="1"/>
      <c r="AE134" s="1"/>
      <c r="AF134" s="1"/>
      <c r="AG134" s="1"/>
      <c r="AH134" s="1"/>
      <c r="AI134" s="1"/>
      <c r="AJ134" s="1"/>
      <c r="AK134" s="1"/>
      <c r="AL134" s="1"/>
      <c r="AM134" s="1"/>
      <c r="AN134" s="1"/>
      <c r="AO134" s="1"/>
      <c r="AP134" s="1"/>
      <c r="AQ134" s="1"/>
      <c r="AR134" s="1"/>
      <c r="AS134" s="1"/>
      <c r="AT134" s="1"/>
      <c r="AU134" s="1"/>
      <c r="AV134" s="1"/>
      <c r="AW134" s="1"/>
      <c r="AX134" s="1"/>
      <c r="AY134" s="1"/>
    </row>
    <row r="135" spans="1:62" ht="19.95" customHeight="1">
      <c r="A135" s="199"/>
      <c r="B135" s="1277"/>
      <c r="C135" s="1277"/>
      <c r="D135" s="1277"/>
      <c r="E135" s="1277"/>
      <c r="F135" s="1277"/>
      <c r="G135" s="1277"/>
      <c r="H135" s="1277"/>
      <c r="I135" s="1277"/>
      <c r="J135" s="1277"/>
      <c r="K135" s="1277"/>
      <c r="L135" s="1277"/>
      <c r="M135" s="1277"/>
      <c r="N135" s="200"/>
      <c r="O135" s="199"/>
      <c r="P135" s="24"/>
      <c r="Q135" s="24"/>
      <c r="R135" s="24"/>
      <c r="S135" s="24"/>
      <c r="T135" s="24"/>
      <c r="U135" s="24"/>
      <c r="V135" s="24"/>
      <c r="W135" s="24"/>
      <c r="X135" s="24"/>
      <c r="Y135" s="24"/>
      <c r="Z135" s="24"/>
      <c r="AA135" s="24"/>
      <c r="AB135" s="200"/>
      <c r="AC135" s="1"/>
      <c r="AD135" s="1"/>
      <c r="AE135" s="1"/>
      <c r="AF135" s="1"/>
      <c r="AG135" s="1"/>
      <c r="AH135" s="1"/>
      <c r="AI135" s="1"/>
      <c r="AJ135" s="1"/>
      <c r="AK135" s="1"/>
      <c r="AL135" s="1"/>
      <c r="AM135" s="1"/>
      <c r="AN135" s="1"/>
      <c r="AO135" s="1"/>
      <c r="AP135" s="1"/>
      <c r="AQ135" s="1"/>
      <c r="AR135" s="1"/>
      <c r="AS135" s="1"/>
      <c r="AT135" s="1"/>
      <c r="AU135" s="1"/>
      <c r="AV135" s="1"/>
      <c r="AW135" s="1"/>
      <c r="AX135" s="1"/>
      <c r="AY135" s="1"/>
    </row>
    <row r="136" spans="1:62" ht="19.95" customHeight="1">
      <c r="A136" s="199"/>
      <c r="B136" s="1277"/>
      <c r="C136" s="1277"/>
      <c r="D136" s="1277"/>
      <c r="E136" s="1277"/>
      <c r="F136" s="1277"/>
      <c r="G136" s="1277"/>
      <c r="H136" s="1277"/>
      <c r="I136" s="1277"/>
      <c r="J136" s="1277"/>
      <c r="K136" s="1277"/>
      <c r="L136" s="1277"/>
      <c r="M136" s="1277"/>
      <c r="N136" s="200"/>
      <c r="O136" s="199"/>
      <c r="P136" s="24"/>
      <c r="Q136" s="24"/>
      <c r="R136" s="24"/>
      <c r="S136" s="24"/>
      <c r="T136" s="24"/>
      <c r="U136" s="24"/>
      <c r="V136" s="24"/>
      <c r="W136" s="24"/>
      <c r="X136" s="24"/>
      <c r="Y136" s="24"/>
      <c r="Z136" s="24"/>
      <c r="AA136" s="24"/>
      <c r="AB136" s="200"/>
      <c r="AC136" s="1"/>
      <c r="AD136" s="1"/>
      <c r="AE136" s="1"/>
      <c r="AF136" s="1"/>
      <c r="AG136" s="1"/>
      <c r="AH136" s="1"/>
      <c r="AI136" s="1"/>
      <c r="AJ136" s="1"/>
      <c r="AK136" s="1"/>
      <c r="AL136" s="1"/>
      <c r="AM136" s="1"/>
      <c r="AN136" s="1"/>
      <c r="AO136" s="1"/>
      <c r="AP136" s="1"/>
      <c r="AQ136" s="1"/>
      <c r="AR136" s="1"/>
      <c r="AS136" s="1"/>
      <c r="AT136" s="1"/>
      <c r="AU136" s="1"/>
      <c r="AV136" s="1"/>
      <c r="AW136" s="1"/>
      <c r="AX136" s="1"/>
      <c r="AY136" s="1"/>
    </row>
    <row r="137" spans="1:62" ht="4.95" customHeight="1">
      <c r="A137" s="199"/>
      <c r="B137" s="24"/>
      <c r="C137" s="24"/>
      <c r="D137" s="24"/>
      <c r="E137" s="24"/>
      <c r="F137" s="24"/>
      <c r="G137" s="24"/>
      <c r="H137" s="24"/>
      <c r="I137" s="24"/>
      <c r="J137" s="24"/>
      <c r="K137" s="24"/>
      <c r="L137" s="24"/>
      <c r="M137" s="24"/>
      <c r="N137" s="200"/>
      <c r="O137" s="199"/>
      <c r="P137" s="24"/>
      <c r="Q137" s="24"/>
      <c r="R137" s="24"/>
      <c r="S137" s="24"/>
      <c r="T137" s="24"/>
      <c r="U137" s="24"/>
      <c r="V137" s="24"/>
      <c r="W137" s="24"/>
      <c r="X137" s="24"/>
      <c r="Y137" s="24"/>
      <c r="Z137" s="24"/>
      <c r="AA137" s="24"/>
      <c r="AB137" s="200"/>
      <c r="AC137" s="1"/>
      <c r="AD137" s="1"/>
      <c r="AE137" s="1"/>
      <c r="AF137" s="1"/>
      <c r="AG137" s="1"/>
      <c r="AH137" s="1"/>
      <c r="AI137" s="1"/>
      <c r="AJ137" s="1"/>
      <c r="AK137" s="1"/>
      <c r="AL137" s="1"/>
      <c r="AM137" s="1"/>
      <c r="AN137" s="1"/>
      <c r="AO137" s="1"/>
      <c r="AP137" s="1"/>
      <c r="AQ137" s="1"/>
      <c r="AR137" s="1"/>
      <c r="AS137" s="1"/>
      <c r="AT137" s="1"/>
      <c r="AU137" s="1"/>
      <c r="AV137" s="1"/>
      <c r="AW137" s="1"/>
      <c r="AX137" s="1"/>
      <c r="AY137" s="1"/>
    </row>
    <row r="138" spans="1:62" ht="19.95" customHeight="1">
      <c r="A138" s="199"/>
      <c r="B138" s="394" t="s">
        <v>1265</v>
      </c>
      <c r="C138" s="24"/>
      <c r="D138" s="24"/>
      <c r="E138" s="24"/>
      <c r="F138" s="24"/>
      <c r="G138" s="24"/>
      <c r="H138" s="24"/>
      <c r="I138" s="24"/>
      <c r="J138" s="24"/>
      <c r="K138" s="24"/>
      <c r="L138" s="24"/>
      <c r="M138" s="24"/>
      <c r="N138" s="200"/>
      <c r="O138" s="199"/>
      <c r="P138" s="24"/>
      <c r="Q138" s="24"/>
      <c r="R138" s="24"/>
      <c r="S138" s="24"/>
      <c r="T138" s="24"/>
      <c r="U138" s="24"/>
      <c r="V138" s="24"/>
      <c r="W138" s="24"/>
      <c r="X138" s="24"/>
      <c r="Y138" s="24"/>
      <c r="Z138" s="24"/>
      <c r="AA138" s="24"/>
      <c r="AB138" s="200"/>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BF138" s="37" t="str">
        <f>CONCATENATE(BH138,BI138,BJ138,BK138)</f>
        <v xml:space="preserve">You probably do not think of political disagreement as rejection. But the more their needs tie into their immigration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v>
      </c>
      <c r="BH138" s="46" t="s">
        <v>1385</v>
      </c>
      <c r="BI138" s="2" t="str">
        <f>IF(H101="","political",D1124)</f>
        <v>immigration</v>
      </c>
      <c r="BJ138" s="46" t="s">
        <v>1384</v>
      </c>
    </row>
    <row r="139" spans="1:62" ht="19.95" customHeight="1">
      <c r="A139" s="199"/>
      <c r="B139" s="1277" t="str">
        <f>BF138</f>
        <v xml:space="preserve">You probably do not think of political disagreement as rejection. But the more their needs tie into their immigration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v>
      </c>
      <c r="C139" s="1277"/>
      <c r="D139" s="1277"/>
      <c r="E139" s="1277"/>
      <c r="F139" s="1277"/>
      <c r="G139" s="1277"/>
      <c r="H139" s="1277"/>
      <c r="I139" s="1277"/>
      <c r="J139" s="1277"/>
      <c r="K139" s="1277"/>
      <c r="L139" s="1277"/>
      <c r="M139" s="1277"/>
      <c r="N139" s="200"/>
      <c r="O139" s="199"/>
      <c r="P139" s="24"/>
      <c r="Q139" s="24"/>
      <c r="R139" s="24"/>
      <c r="S139" s="24"/>
      <c r="T139" s="24"/>
      <c r="U139" s="24"/>
      <c r="V139" s="24"/>
      <c r="W139" s="24"/>
      <c r="X139" s="24"/>
      <c r="Y139" s="24"/>
      <c r="Z139" s="24"/>
      <c r="AA139" s="24"/>
      <c r="AB139" s="200"/>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BF139" s="37" t="str">
        <f>CONCATENATE(BH139,BI139,BJ139,BK139)</f>
        <v/>
      </c>
    </row>
    <row r="140" spans="1:62" ht="19.95" customHeight="1">
      <c r="A140" s="199"/>
      <c r="B140" s="1277"/>
      <c r="C140" s="1277"/>
      <c r="D140" s="1277"/>
      <c r="E140" s="1277"/>
      <c r="F140" s="1277"/>
      <c r="G140" s="1277"/>
      <c r="H140" s="1277"/>
      <c r="I140" s="1277"/>
      <c r="J140" s="1277"/>
      <c r="K140" s="1277"/>
      <c r="L140" s="1277"/>
      <c r="M140" s="1277"/>
      <c r="N140" s="200"/>
      <c r="O140" s="199"/>
      <c r="P140" s="24"/>
      <c r="Q140" s="24"/>
      <c r="R140" s="24"/>
      <c r="S140" s="24"/>
      <c r="T140" s="24"/>
      <c r="U140" s="24"/>
      <c r="V140" s="24"/>
      <c r="W140" s="24"/>
      <c r="X140" s="24"/>
      <c r="Y140" s="24"/>
      <c r="Z140" s="24"/>
      <c r="AA140" s="24"/>
      <c r="AB140" s="200"/>
      <c r="AC140" s="1"/>
      <c r="AD140" s="1"/>
      <c r="AE140" s="1"/>
      <c r="AF140" s="1"/>
      <c r="AG140" s="1"/>
      <c r="AH140" s="1"/>
      <c r="AI140" s="1"/>
      <c r="AJ140" s="1"/>
      <c r="AK140" s="1"/>
      <c r="AL140" s="1"/>
      <c r="AM140" s="1"/>
      <c r="AN140" s="1"/>
      <c r="AO140" s="1"/>
      <c r="AP140" s="1"/>
      <c r="AQ140" s="1"/>
      <c r="AR140" s="1"/>
      <c r="AS140" s="1"/>
      <c r="AT140" s="1"/>
      <c r="AU140" s="1"/>
      <c r="AV140" s="1"/>
      <c r="AW140" s="1"/>
      <c r="AX140" s="1"/>
      <c r="AY140" s="1"/>
    </row>
    <row r="141" spans="1:62" ht="19.95" customHeight="1">
      <c r="A141" s="199"/>
      <c r="B141" s="1277"/>
      <c r="C141" s="1277"/>
      <c r="D141" s="1277"/>
      <c r="E141" s="1277"/>
      <c r="F141" s="1277"/>
      <c r="G141" s="1277"/>
      <c r="H141" s="1277"/>
      <c r="I141" s="1277"/>
      <c r="J141" s="1277"/>
      <c r="K141" s="1277"/>
      <c r="L141" s="1277"/>
      <c r="M141" s="1277"/>
      <c r="N141" s="200"/>
      <c r="O141" s="199"/>
      <c r="P141" s="24"/>
      <c r="Q141" s="24"/>
      <c r="R141" s="24"/>
      <c r="S141" s="24"/>
      <c r="T141" s="24"/>
      <c r="U141" s="24"/>
      <c r="V141" s="24"/>
      <c r="W141" s="24"/>
      <c r="X141" s="24"/>
      <c r="Y141" s="24"/>
      <c r="Z141" s="24"/>
      <c r="AA141" s="24"/>
      <c r="AB141" s="200"/>
      <c r="AC141" s="1"/>
      <c r="AD141" s="1"/>
      <c r="AE141" s="1"/>
      <c r="AF141" s="1"/>
      <c r="AG141" s="1"/>
      <c r="AH141" s="1"/>
      <c r="AI141" s="1"/>
      <c r="AJ141" s="1"/>
      <c r="AK141" s="1"/>
      <c r="AL141" s="1"/>
      <c r="AM141" s="1"/>
      <c r="AN141" s="1"/>
      <c r="AO141" s="1"/>
      <c r="AP141" s="1"/>
      <c r="AQ141" s="1"/>
      <c r="AR141" s="1"/>
      <c r="AS141" s="1"/>
      <c r="AT141" s="1"/>
      <c r="AU141" s="1"/>
      <c r="AV141" s="1"/>
      <c r="AW141" s="1"/>
      <c r="AX141" s="1"/>
      <c r="AY141" s="1"/>
    </row>
    <row r="142" spans="1:62" ht="19.95" customHeight="1">
      <c r="A142" s="199"/>
      <c r="B142" s="1277"/>
      <c r="C142" s="1277"/>
      <c r="D142" s="1277"/>
      <c r="E142" s="1277"/>
      <c r="F142" s="1277"/>
      <c r="G142" s="1277"/>
      <c r="H142" s="1277"/>
      <c r="I142" s="1277"/>
      <c r="J142" s="1277"/>
      <c r="K142" s="1277"/>
      <c r="L142" s="1277"/>
      <c r="M142" s="1277"/>
      <c r="N142" s="200"/>
      <c r="O142" s="199"/>
      <c r="P142" s="24"/>
      <c r="Q142" s="24"/>
      <c r="R142" s="24"/>
      <c r="S142" s="24"/>
      <c r="T142" s="24"/>
      <c r="U142" s="24"/>
      <c r="V142" s="24"/>
      <c r="W142" s="24"/>
      <c r="X142" s="24"/>
      <c r="Y142" s="24"/>
      <c r="Z142" s="24"/>
      <c r="AA142" s="24"/>
      <c r="AB142" s="200"/>
      <c r="AC142" s="1"/>
      <c r="AD142" s="1"/>
      <c r="AE142" s="1"/>
      <c r="AF142" s="1"/>
      <c r="AG142" s="1"/>
      <c r="AH142" s="1"/>
      <c r="AI142" s="1"/>
      <c r="AJ142" s="1"/>
      <c r="AK142" s="1"/>
      <c r="AL142" s="1"/>
      <c r="AM142" s="1"/>
      <c r="AN142" s="1"/>
      <c r="AO142" s="1"/>
      <c r="AP142" s="1"/>
      <c r="AQ142" s="1"/>
      <c r="AR142" s="1"/>
      <c r="AS142" s="1"/>
      <c r="AT142" s="1"/>
      <c r="AU142" s="1"/>
      <c r="AV142" s="1"/>
      <c r="AW142" s="1"/>
      <c r="AX142" s="1"/>
      <c r="AY142" s="1"/>
    </row>
    <row r="143" spans="1:62" ht="19.95" customHeight="1">
      <c r="A143" s="199"/>
      <c r="B143" s="1277"/>
      <c r="C143" s="1277"/>
      <c r="D143" s="1277"/>
      <c r="E143" s="1277"/>
      <c r="F143" s="1277"/>
      <c r="G143" s="1277"/>
      <c r="H143" s="1277"/>
      <c r="I143" s="1277"/>
      <c r="J143" s="1277"/>
      <c r="K143" s="1277"/>
      <c r="L143" s="1277"/>
      <c r="M143" s="1277"/>
      <c r="N143" s="200"/>
      <c r="O143" s="199"/>
      <c r="P143" s="24"/>
      <c r="Q143" s="24"/>
      <c r="R143" s="24"/>
      <c r="S143" s="24"/>
      <c r="T143" s="24"/>
      <c r="U143" s="24"/>
      <c r="V143" s="24"/>
      <c r="W143" s="24"/>
      <c r="X143" s="24"/>
      <c r="Y143" s="24"/>
      <c r="Z143" s="24"/>
      <c r="AA143" s="24"/>
      <c r="AB143" s="200"/>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BF143" s="37" t="str">
        <f>CONCATENATE(BH143,BI143,BJ143,BK143)</f>
        <v/>
      </c>
    </row>
    <row r="144" spans="1:62" ht="19.95" customHeight="1">
      <c r="A144" s="199"/>
      <c r="B144" s="1277"/>
      <c r="C144" s="1277"/>
      <c r="D144" s="1277"/>
      <c r="E144" s="1277"/>
      <c r="F144" s="1277"/>
      <c r="G144" s="1277"/>
      <c r="H144" s="1277"/>
      <c r="I144" s="1277"/>
      <c r="J144" s="1277"/>
      <c r="K144" s="1277"/>
      <c r="L144" s="1277"/>
      <c r="M144" s="1277"/>
      <c r="N144" s="200"/>
      <c r="O144" s="199"/>
      <c r="P144" s="24"/>
      <c r="Q144" s="24"/>
      <c r="R144" s="24"/>
      <c r="S144" s="24"/>
      <c r="T144" s="24"/>
      <c r="U144" s="24"/>
      <c r="V144" s="24"/>
      <c r="W144" s="24"/>
      <c r="X144" s="24"/>
      <c r="Y144" s="24"/>
      <c r="Z144" s="24"/>
      <c r="AA144" s="24"/>
      <c r="AB144" s="200"/>
      <c r="AC144" s="1"/>
      <c r="AD144" s="1"/>
      <c r="AE144" s="1"/>
      <c r="AF144" s="1"/>
      <c r="AG144" s="1"/>
      <c r="AH144" s="1"/>
      <c r="AI144" s="1"/>
      <c r="AJ144" s="1"/>
      <c r="AK144" s="1"/>
      <c r="AL144" s="1"/>
      <c r="AM144" s="1"/>
      <c r="AN144" s="1"/>
      <c r="AO144" s="1"/>
      <c r="AP144" s="1"/>
      <c r="AQ144" s="1"/>
      <c r="AR144" s="1"/>
      <c r="AS144" s="1"/>
      <c r="AT144" s="1"/>
      <c r="AU144" s="1"/>
      <c r="AV144" s="1"/>
      <c r="AW144" s="1"/>
      <c r="AX144" s="1"/>
      <c r="AY144" s="1"/>
    </row>
    <row r="145" spans="1:64" ht="4.95" customHeight="1">
      <c r="A145" s="199"/>
      <c r="B145" s="24"/>
      <c r="C145" s="24"/>
      <c r="D145" s="24"/>
      <c r="E145" s="24"/>
      <c r="F145" s="24"/>
      <c r="G145" s="24"/>
      <c r="H145" s="24"/>
      <c r="I145" s="24"/>
      <c r="J145" s="24"/>
      <c r="K145" s="24"/>
      <c r="L145" s="24"/>
      <c r="M145" s="24"/>
      <c r="N145" s="200"/>
      <c r="O145" s="199"/>
      <c r="P145" s="24"/>
      <c r="Q145" s="24"/>
      <c r="R145" s="24"/>
      <c r="S145" s="24"/>
      <c r="T145" s="24"/>
      <c r="U145" s="24"/>
      <c r="V145" s="24"/>
      <c r="W145" s="24"/>
      <c r="X145" s="24"/>
      <c r="Y145" s="24"/>
      <c r="Z145" s="24"/>
      <c r="AA145" s="24"/>
      <c r="AB145" s="200"/>
      <c r="AC145" s="1"/>
      <c r="AD145" s="1"/>
      <c r="AE145" s="1"/>
      <c r="AF145" s="1"/>
      <c r="AG145" s="1"/>
      <c r="AH145" s="1"/>
      <c r="AI145" s="1"/>
      <c r="AJ145" s="1"/>
      <c r="AK145" s="1"/>
      <c r="AL145" s="1"/>
      <c r="AM145" s="1"/>
      <c r="AN145" s="1"/>
      <c r="AO145" s="1"/>
      <c r="AP145" s="1"/>
      <c r="AQ145" s="1"/>
      <c r="AR145" s="1"/>
      <c r="AS145" s="1"/>
      <c r="AT145" s="1"/>
      <c r="AU145" s="1"/>
      <c r="AV145" s="1"/>
      <c r="AW145" s="1"/>
      <c r="AX145" s="1"/>
      <c r="AY145" s="1"/>
    </row>
    <row r="146" spans="1:64" ht="19.95" customHeight="1">
      <c r="A146" s="199"/>
      <c r="B146" s="394" t="s">
        <v>1266</v>
      </c>
      <c r="C146" s="24"/>
      <c r="D146" s="24"/>
      <c r="E146" s="24"/>
      <c r="F146" s="24"/>
      <c r="G146" s="24"/>
      <c r="H146" s="24"/>
      <c r="I146" s="24"/>
      <c r="J146" s="24"/>
      <c r="K146" s="24"/>
      <c r="L146" s="24"/>
      <c r="M146" s="24"/>
      <c r="N146" s="200"/>
      <c r="O146" s="199"/>
      <c r="P146" s="24"/>
      <c r="Q146" s="24"/>
      <c r="R146" s="24"/>
      <c r="S146" s="24"/>
      <c r="T146" s="24"/>
      <c r="U146" s="24"/>
      <c r="V146" s="24"/>
      <c r="W146" s="24"/>
      <c r="X146" s="24"/>
      <c r="Y146" s="24"/>
      <c r="Z146" s="24"/>
      <c r="AA146" s="24"/>
      <c r="AB146" s="200"/>
      <c r="AC146" s="1"/>
      <c r="AD146" s="1"/>
      <c r="AE146" s="1"/>
      <c r="AF146" s="1"/>
      <c r="AG146" s="1"/>
      <c r="AH146" s="1"/>
      <c r="AI146" s="1"/>
      <c r="AJ146" s="1"/>
      <c r="AK146" s="1"/>
      <c r="AL146" s="1"/>
      <c r="AM146" s="1"/>
      <c r="AN146" s="1"/>
      <c r="AO146" s="1"/>
      <c r="AP146" s="1"/>
      <c r="AQ146" s="1"/>
      <c r="AR146" s="1"/>
      <c r="AS146" s="1"/>
      <c r="AT146" s="1"/>
      <c r="AU146" s="1"/>
      <c r="AV146" s="1"/>
      <c r="AW146" s="1"/>
      <c r="AX146" s="1"/>
      <c r="AY146" s="1"/>
    </row>
    <row r="147" spans="1:64" ht="19.95" customHeight="1">
      <c r="A147" s="199"/>
      <c r="B147" s="1277" t="s">
        <v>1267</v>
      </c>
      <c r="C147" s="1277"/>
      <c r="D147" s="1277"/>
      <c r="E147" s="1277"/>
      <c r="F147" s="1277"/>
      <c r="G147" s="1277"/>
      <c r="H147" s="1277"/>
      <c r="I147" s="1277"/>
      <c r="J147" s="1277"/>
      <c r="K147" s="1277"/>
      <c r="L147" s="1277"/>
      <c r="M147" s="1277"/>
      <c r="N147" s="200"/>
      <c r="O147" s="199"/>
      <c r="P147" s="24"/>
      <c r="Q147" s="24"/>
      <c r="R147" s="24"/>
      <c r="S147" s="24"/>
      <c r="T147" s="24"/>
      <c r="U147" s="24"/>
      <c r="V147" s="24"/>
      <c r="W147" s="24"/>
      <c r="X147" s="24"/>
      <c r="Y147" s="24"/>
      <c r="Z147" s="24"/>
      <c r="AA147" s="24"/>
      <c r="AB147" s="200"/>
      <c r="AC147" s="1"/>
      <c r="AD147" s="1"/>
      <c r="AE147" s="1"/>
      <c r="AF147" s="1"/>
      <c r="AG147" s="1"/>
      <c r="AH147" s="1"/>
      <c r="AI147" s="1"/>
      <c r="AJ147" s="1"/>
      <c r="AK147" s="1"/>
      <c r="AL147" s="1"/>
      <c r="AM147" s="1"/>
      <c r="AN147" s="1"/>
      <c r="AO147" s="1"/>
      <c r="AP147" s="1"/>
      <c r="AQ147" s="1"/>
      <c r="AR147" s="1"/>
      <c r="AS147" s="1"/>
      <c r="AT147" s="1"/>
      <c r="AU147" s="1"/>
      <c r="AV147" s="1"/>
      <c r="AW147" s="1"/>
      <c r="AX147" s="1"/>
      <c r="AY147" s="1"/>
    </row>
    <row r="148" spans="1:64" ht="19.95" customHeight="1">
      <c r="A148" s="199"/>
      <c r="B148" s="1277"/>
      <c r="C148" s="1277"/>
      <c r="D148" s="1277"/>
      <c r="E148" s="1277"/>
      <c r="F148" s="1277"/>
      <c r="G148" s="1277"/>
      <c r="H148" s="1277"/>
      <c r="I148" s="1277"/>
      <c r="J148" s="1277"/>
      <c r="K148" s="1277"/>
      <c r="L148" s="1277"/>
      <c r="M148" s="1277"/>
      <c r="N148" s="200"/>
      <c r="O148" s="199"/>
      <c r="P148" s="24"/>
      <c r="Q148" s="24"/>
      <c r="R148" s="24"/>
      <c r="S148" s="24"/>
      <c r="T148" s="24"/>
      <c r="U148" s="24"/>
      <c r="V148" s="24"/>
      <c r="W148" s="24"/>
      <c r="X148" s="24"/>
      <c r="Y148" s="24"/>
      <c r="Z148" s="24"/>
      <c r="AA148" s="24"/>
      <c r="AB148" s="200"/>
      <c r="AC148" s="1"/>
      <c r="AD148" s="1"/>
      <c r="AE148" s="1"/>
      <c r="AF148" s="1"/>
      <c r="AG148" s="1"/>
      <c r="AH148" s="1"/>
      <c r="AI148" s="1"/>
      <c r="AJ148" s="1"/>
      <c r="AK148" s="1"/>
      <c r="AL148" s="1"/>
      <c r="AM148" s="1"/>
      <c r="AN148" s="1"/>
      <c r="AO148" s="1"/>
      <c r="AP148" s="1"/>
      <c r="AQ148" s="1"/>
      <c r="AR148" s="1"/>
      <c r="AS148" s="1"/>
      <c r="AT148" s="1"/>
      <c r="AU148" s="1"/>
      <c r="AV148" s="1"/>
      <c r="AW148" s="1"/>
      <c r="AX148" s="1"/>
      <c r="AY148" s="1"/>
    </row>
    <row r="149" spans="1:64" ht="19.95" customHeight="1">
      <c r="A149" s="199"/>
      <c r="B149" s="1277"/>
      <c r="C149" s="1277"/>
      <c r="D149" s="1277"/>
      <c r="E149" s="1277"/>
      <c r="F149" s="1277"/>
      <c r="G149" s="1277"/>
      <c r="H149" s="1277"/>
      <c r="I149" s="1277"/>
      <c r="J149" s="1277"/>
      <c r="K149" s="1277"/>
      <c r="L149" s="1277"/>
      <c r="M149" s="1277"/>
      <c r="N149" s="200"/>
      <c r="O149" s="199"/>
      <c r="P149" s="24"/>
      <c r="Q149" s="24"/>
      <c r="R149" s="24"/>
      <c r="S149" s="24"/>
      <c r="T149" s="24"/>
      <c r="U149" s="24"/>
      <c r="V149" s="24"/>
      <c r="W149" s="24"/>
      <c r="X149" s="24"/>
      <c r="Y149" s="24"/>
      <c r="Z149" s="24"/>
      <c r="AA149" s="24"/>
      <c r="AB149" s="200"/>
      <c r="AC149" s="1"/>
      <c r="AD149" s="1"/>
      <c r="AE149" s="1"/>
      <c r="AF149" s="1"/>
      <c r="AG149" s="1"/>
      <c r="AH149" s="1"/>
      <c r="AI149" s="1"/>
      <c r="AJ149" s="1"/>
      <c r="AK149" s="1"/>
      <c r="AL149" s="1"/>
      <c r="AM149" s="1"/>
      <c r="AN149" s="1"/>
      <c r="AO149" s="1"/>
      <c r="AP149" s="1"/>
      <c r="AQ149" s="1"/>
      <c r="AR149" s="1"/>
      <c r="AS149" s="1"/>
      <c r="AT149" s="1"/>
      <c r="AU149" s="1"/>
      <c r="AV149" s="1"/>
      <c r="AW149" s="1"/>
      <c r="AX149" s="1"/>
      <c r="AY149" s="1"/>
    </row>
    <row r="150" spans="1:64" ht="19.95" customHeight="1">
      <c r="A150" s="199"/>
      <c r="B150" s="1277"/>
      <c r="C150" s="1277"/>
      <c r="D150" s="1277"/>
      <c r="E150" s="1277"/>
      <c r="F150" s="1277"/>
      <c r="G150" s="1277"/>
      <c r="H150" s="1277"/>
      <c r="I150" s="1277"/>
      <c r="J150" s="1277"/>
      <c r="K150" s="1277"/>
      <c r="L150" s="1277"/>
      <c r="M150" s="1277"/>
      <c r="N150" s="200"/>
      <c r="O150" s="199"/>
      <c r="P150" s="24"/>
      <c r="Q150" s="24"/>
      <c r="R150" s="24"/>
      <c r="S150" s="24"/>
      <c r="T150" s="24"/>
      <c r="U150" s="24"/>
      <c r="V150" s="24"/>
      <c r="W150" s="24"/>
      <c r="X150" s="24"/>
      <c r="Y150" s="24"/>
      <c r="Z150" s="24"/>
      <c r="AA150" s="24"/>
      <c r="AB150" s="200"/>
      <c r="AC150" s="1"/>
      <c r="AD150" s="1"/>
      <c r="AE150" s="1"/>
      <c r="AF150" s="1"/>
      <c r="AG150" s="1"/>
      <c r="AH150" s="1"/>
      <c r="AI150" s="1"/>
      <c r="AJ150" s="1"/>
      <c r="AK150" s="1"/>
      <c r="AL150" s="1"/>
      <c r="AM150" s="1"/>
      <c r="AN150" s="1"/>
      <c r="AO150" s="1"/>
      <c r="AP150" s="1"/>
      <c r="AQ150" s="1"/>
      <c r="AR150" s="1"/>
      <c r="AS150" s="1"/>
      <c r="AT150" s="1"/>
      <c r="AU150" s="1"/>
      <c r="AV150" s="1"/>
      <c r="AW150" s="1"/>
      <c r="AX150" s="1"/>
      <c r="AY150" s="1"/>
    </row>
    <row r="151" spans="1:64" ht="25.05" customHeight="1">
      <c r="A151" s="199"/>
      <c r="B151" s="1277"/>
      <c r="C151" s="1277"/>
      <c r="D151" s="1277"/>
      <c r="E151" s="1277"/>
      <c r="F151" s="1277"/>
      <c r="G151" s="1277"/>
      <c r="H151" s="1277"/>
      <c r="I151" s="1277"/>
      <c r="J151" s="1277"/>
      <c r="K151" s="1277"/>
      <c r="L151" s="1277"/>
      <c r="M151" s="1277"/>
      <c r="N151" s="200"/>
      <c r="O151" s="199"/>
      <c r="P151" s="24"/>
      <c r="Q151" s="24"/>
      <c r="R151" s="24"/>
      <c r="S151" s="24"/>
      <c r="T151" s="24"/>
      <c r="U151" s="24"/>
      <c r="V151" s="24"/>
      <c r="W151" s="24"/>
      <c r="X151" s="24"/>
      <c r="Y151" s="24"/>
      <c r="Z151" s="24"/>
      <c r="AA151" s="24"/>
      <c r="AB151" s="200"/>
      <c r="AC151" s="1"/>
      <c r="AD151" s="1"/>
      <c r="AE151" s="1"/>
      <c r="AF151" s="1"/>
      <c r="AG151" s="1"/>
      <c r="AH151" s="1"/>
      <c r="AI151" s="1"/>
      <c r="AJ151" s="1"/>
      <c r="AK151" s="1"/>
      <c r="AL151" s="1"/>
      <c r="AM151" s="1"/>
      <c r="AN151" s="1"/>
      <c r="AO151" s="1"/>
      <c r="AP151" s="1"/>
      <c r="AQ151" s="1"/>
      <c r="AR151" s="1"/>
      <c r="AS151" s="1"/>
      <c r="AT151" s="1"/>
      <c r="AU151" s="1"/>
      <c r="AV151" s="1"/>
      <c r="AW151" s="1"/>
      <c r="AX151" s="1"/>
      <c r="AY151" s="1"/>
    </row>
    <row r="152" spans="1:64" ht="4.95" customHeight="1">
      <c r="A152" s="199"/>
      <c r="B152" s="24"/>
      <c r="C152" s="24"/>
      <c r="D152" s="24"/>
      <c r="E152" s="24"/>
      <c r="F152" s="24"/>
      <c r="G152" s="24"/>
      <c r="H152" s="24"/>
      <c r="I152" s="24"/>
      <c r="J152" s="24"/>
      <c r="K152" s="24"/>
      <c r="L152" s="24"/>
      <c r="M152" s="24"/>
      <c r="N152" s="200"/>
      <c r="O152" s="199"/>
      <c r="P152" s="24"/>
      <c r="Q152" s="24"/>
      <c r="R152" s="24"/>
      <c r="S152" s="24"/>
      <c r="T152" s="24"/>
      <c r="U152" s="24"/>
      <c r="V152" s="24"/>
      <c r="W152" s="24"/>
      <c r="X152" s="24"/>
      <c r="Y152" s="24"/>
      <c r="Z152" s="24"/>
      <c r="AA152" s="24"/>
      <c r="AB152" s="200"/>
      <c r="AC152" s="1"/>
      <c r="AD152" s="1"/>
      <c r="AE152" s="1"/>
      <c r="AF152" s="1"/>
      <c r="AG152" s="1"/>
      <c r="AH152" s="1"/>
      <c r="AI152" s="1"/>
      <c r="AJ152" s="1"/>
      <c r="AK152" s="1"/>
      <c r="AL152" s="1"/>
      <c r="AM152" s="1"/>
      <c r="AN152" s="1"/>
      <c r="AO152" s="1"/>
      <c r="AP152" s="1"/>
      <c r="AQ152" s="1"/>
      <c r="AR152" s="1"/>
      <c r="AS152" s="1"/>
      <c r="AT152" s="1"/>
      <c r="AU152" s="1"/>
      <c r="AV152" s="1"/>
      <c r="AW152" s="1"/>
      <c r="AX152" s="1"/>
      <c r="AY152" s="1"/>
    </row>
    <row r="153" spans="1:64" ht="25.05" customHeight="1">
      <c r="A153" s="199"/>
      <c r="B153" s="1277" t="str">
        <f>BF153</f>
        <v>If clinging to the notion that politics is based on rational agreements, you may unconsciously expect your client to link their thinking with yours on immigration. If you seem to threaten their trusted political way to cope with their immigration-related needs, your client may suddenly cancel any further sessions.</v>
      </c>
      <c r="C153" s="1277"/>
      <c r="D153" s="1277"/>
      <c r="E153" s="1277"/>
      <c r="F153" s="1277"/>
      <c r="G153" s="1277"/>
      <c r="H153" s="1277"/>
      <c r="I153" s="1277"/>
      <c r="J153" s="1277"/>
      <c r="K153" s="1277"/>
      <c r="L153" s="1277"/>
      <c r="M153" s="1277"/>
      <c r="N153" s="200"/>
      <c r="O153" s="199"/>
      <c r="P153" s="24"/>
      <c r="Q153" s="24"/>
      <c r="R153" s="24"/>
      <c r="S153" s="24"/>
      <c r="T153" s="24"/>
      <c r="U153" s="24"/>
      <c r="V153" s="24"/>
      <c r="W153" s="24"/>
      <c r="X153" s="24"/>
      <c r="Y153" s="24"/>
      <c r="Z153" s="24"/>
      <c r="AA153" s="24"/>
      <c r="AB153" s="200"/>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BF153" s="37" t="str">
        <f>CONCATENATE(BH153,BI153,BJ153,BK153,BL153)</f>
        <v>If clinging to the notion that politics is based on rational agreements, you may unconsciously expect your client to link their thinking with yours on immigration. If you seem to threaten their trusted political way to cope with their immigration-related needs, your client may suddenly cancel any further sessions.</v>
      </c>
      <c r="BH153" s="465" t="s">
        <v>1375</v>
      </c>
      <c r="BI153" s="2" t="str">
        <f>IF(H101="","the raised political issue",D1124)</f>
        <v>immigration</v>
      </c>
      <c r="BJ153" s="465" t="s">
        <v>1374</v>
      </c>
      <c r="BK153" s="2" t="str">
        <f>IF(H101="","politically",D1124)</f>
        <v>immigration</v>
      </c>
      <c r="BL153" s="465" t="s">
        <v>1373</v>
      </c>
    </row>
    <row r="154" spans="1:64" ht="25.05" customHeight="1">
      <c r="A154" s="199"/>
      <c r="B154" s="1277"/>
      <c r="C154" s="1277"/>
      <c r="D154" s="1277"/>
      <c r="E154" s="1277"/>
      <c r="F154" s="1277"/>
      <c r="G154" s="1277"/>
      <c r="H154" s="1277"/>
      <c r="I154" s="1277"/>
      <c r="J154" s="1277"/>
      <c r="K154" s="1277"/>
      <c r="L154" s="1277"/>
      <c r="M154" s="1277"/>
      <c r="N154" s="200"/>
      <c r="O154" s="199"/>
      <c r="P154" s="24"/>
      <c r="Q154" s="24"/>
      <c r="R154" s="24"/>
      <c r="S154" s="24"/>
      <c r="T154" s="24"/>
      <c r="U154" s="24"/>
      <c r="V154" s="24"/>
      <c r="W154" s="24"/>
      <c r="X154" s="24"/>
      <c r="Y154" s="24"/>
      <c r="Z154" s="24"/>
      <c r="AA154" s="24"/>
      <c r="AB154" s="200"/>
      <c r="AC154" s="1"/>
      <c r="AD154" s="1"/>
      <c r="AE154" s="1"/>
      <c r="AF154" s="1"/>
      <c r="AG154" s="1"/>
      <c r="AH154" s="1"/>
      <c r="AI154" s="1"/>
      <c r="AJ154" s="1"/>
      <c r="AK154" s="1"/>
      <c r="AL154" s="1"/>
      <c r="AM154" s="1"/>
      <c r="AN154" s="1"/>
      <c r="AO154" s="1"/>
      <c r="AP154" s="1"/>
      <c r="AQ154" s="1"/>
      <c r="AR154" s="1"/>
      <c r="AS154" s="1"/>
      <c r="AT154" s="1"/>
      <c r="AU154" s="1"/>
      <c r="AV154" s="1"/>
      <c r="AW154" s="1"/>
      <c r="AX154" s="1"/>
      <c r="AY154" s="1"/>
    </row>
    <row r="155" spans="1:64" ht="25.05" customHeight="1">
      <c r="A155" s="199"/>
      <c r="B155" s="1277"/>
      <c r="C155" s="1277"/>
      <c r="D155" s="1277"/>
      <c r="E155" s="1277"/>
      <c r="F155" s="1277"/>
      <c r="G155" s="1277"/>
      <c r="H155" s="1277"/>
      <c r="I155" s="1277"/>
      <c r="J155" s="1277"/>
      <c r="K155" s="1277"/>
      <c r="L155" s="1277"/>
      <c r="M155" s="1277"/>
      <c r="N155" s="200"/>
      <c r="O155" s="199"/>
      <c r="P155" s="24"/>
      <c r="Q155" s="24"/>
      <c r="R155" s="24"/>
      <c r="S155" s="24"/>
      <c r="T155" s="24"/>
      <c r="U155" s="24"/>
      <c r="V155" s="24"/>
      <c r="W155" s="24"/>
      <c r="X155" s="24"/>
      <c r="Y155" s="24"/>
      <c r="Z155" s="24"/>
      <c r="AA155" s="24"/>
      <c r="AB155" s="200"/>
      <c r="AC155" s="1"/>
      <c r="AD155" s="1"/>
      <c r="AE155" s="1"/>
      <c r="AF155" s="1"/>
      <c r="AG155" s="1"/>
      <c r="AH155" s="1"/>
      <c r="AI155" s="1"/>
      <c r="AJ155" s="1"/>
      <c r="AK155" s="1"/>
      <c r="AL155" s="1"/>
      <c r="AM155" s="1"/>
      <c r="AN155" s="1"/>
      <c r="AO155" s="1"/>
      <c r="AP155" s="1"/>
      <c r="AQ155" s="1"/>
      <c r="AR155" s="1"/>
      <c r="AS155" s="1"/>
      <c r="AT155" s="1"/>
      <c r="AU155" s="1"/>
      <c r="AV155" s="1"/>
      <c r="AW155" s="1"/>
      <c r="AX155" s="1"/>
      <c r="AY155" s="1"/>
    </row>
    <row r="156" spans="1:64" ht="4.95" customHeight="1">
      <c r="A156" s="199"/>
      <c r="B156" s="390"/>
      <c r="C156" s="390"/>
      <c r="D156" s="390"/>
      <c r="E156" s="390"/>
      <c r="F156" s="390"/>
      <c r="G156" s="390"/>
      <c r="H156" s="390"/>
      <c r="I156" s="390"/>
      <c r="J156" s="390"/>
      <c r="K156" s="390"/>
      <c r="L156" s="390"/>
      <c r="M156" s="390"/>
      <c r="N156" s="200"/>
      <c r="O156" s="199"/>
      <c r="P156" s="24"/>
      <c r="Q156" s="24"/>
      <c r="R156" s="24"/>
      <c r="S156" s="24"/>
      <c r="T156" s="24"/>
      <c r="U156" s="24"/>
      <c r="V156" s="24"/>
      <c r="W156" s="24"/>
      <c r="X156" s="24"/>
      <c r="Y156" s="24"/>
      <c r="Z156" s="24"/>
      <c r="AA156" s="24"/>
      <c r="AB156" s="200"/>
      <c r="AC156" s="1"/>
      <c r="AD156" s="1"/>
      <c r="AE156" s="1"/>
      <c r="AF156" s="1"/>
      <c r="AG156" s="1"/>
      <c r="AH156" s="1"/>
      <c r="AI156" s="1"/>
      <c r="AJ156" s="1"/>
      <c r="AK156" s="1"/>
      <c r="AL156" s="1"/>
      <c r="AM156" s="1"/>
      <c r="AN156" s="1"/>
      <c r="AO156" s="1"/>
      <c r="AP156" s="1"/>
      <c r="AQ156" s="1"/>
      <c r="AR156" s="1"/>
      <c r="AS156" s="1"/>
      <c r="AT156" s="1"/>
      <c r="AU156" s="1"/>
      <c r="AV156" s="1"/>
      <c r="AW156" s="1"/>
      <c r="AX156" s="1"/>
      <c r="AY156" s="1"/>
    </row>
    <row r="157" spans="1:64" ht="30" customHeight="1">
      <c r="A157" s="513" t="s">
        <v>1784</v>
      </c>
      <c r="B157" s="1277" t="s">
        <v>2030</v>
      </c>
      <c r="C157" s="1277"/>
      <c r="D157" s="1277"/>
      <c r="E157" s="1277"/>
      <c r="F157" s="1277"/>
      <c r="G157" s="1277"/>
      <c r="H157" s="1277"/>
      <c r="I157" s="1277"/>
      <c r="J157" s="1277"/>
      <c r="K157" s="1277"/>
      <c r="L157" s="1277"/>
      <c r="M157" s="1277"/>
      <c r="N157" s="200"/>
      <c r="O157" s="199"/>
      <c r="P157" s="24"/>
      <c r="Q157" s="24"/>
      <c r="R157" s="24"/>
      <c r="S157" s="24"/>
      <c r="T157" s="24"/>
      <c r="U157" s="24"/>
      <c r="V157" s="24"/>
      <c r="W157" s="24"/>
      <c r="X157" s="24"/>
      <c r="Y157" s="24"/>
      <c r="Z157" s="24"/>
      <c r="AA157" s="24"/>
      <c r="AB157" s="200"/>
      <c r="AC157" s="1"/>
      <c r="AD157" s="1"/>
      <c r="AE157" s="1"/>
      <c r="AF157" s="1"/>
      <c r="AG157" s="1"/>
      <c r="AH157" s="1"/>
      <c r="AI157" s="1"/>
      <c r="AJ157" s="1"/>
      <c r="AK157" s="1"/>
      <c r="AL157" s="1"/>
      <c r="AM157" s="1"/>
      <c r="AN157" s="1"/>
      <c r="AO157" s="1"/>
      <c r="AP157" s="1"/>
      <c r="AQ157" s="1"/>
      <c r="AR157" s="1"/>
      <c r="AS157" s="1"/>
      <c r="AT157" s="1"/>
      <c r="AU157" s="1"/>
      <c r="AV157" s="1"/>
      <c r="AW157" s="1"/>
      <c r="AX157" s="1"/>
      <c r="AY157" s="1"/>
    </row>
    <row r="158" spans="1:64" ht="30" customHeight="1">
      <c r="A158" s="199"/>
      <c r="B158" s="1277"/>
      <c r="C158" s="1277"/>
      <c r="D158" s="1277"/>
      <c r="E158" s="1277"/>
      <c r="F158" s="1277"/>
      <c r="G158" s="1277"/>
      <c r="H158" s="1277"/>
      <c r="I158" s="1277"/>
      <c r="J158" s="1277"/>
      <c r="K158" s="1277"/>
      <c r="L158" s="1277"/>
      <c r="M158" s="1277"/>
      <c r="N158" s="200"/>
      <c r="O158" s="199"/>
      <c r="P158" s="24"/>
      <c r="Q158" s="24"/>
      <c r="R158" s="24"/>
      <c r="S158" s="24"/>
      <c r="T158" s="24"/>
      <c r="U158" s="24"/>
      <c r="V158" s="24"/>
      <c r="W158" s="24"/>
      <c r="X158" s="24"/>
      <c r="Y158" s="24"/>
      <c r="Z158" s="24"/>
      <c r="AA158" s="24"/>
      <c r="AB158" s="200"/>
      <c r="AC158" s="1"/>
      <c r="AD158" s="1"/>
      <c r="AE158" s="1"/>
      <c r="AF158" s="1"/>
      <c r="AG158" s="1"/>
      <c r="AH158" s="1"/>
      <c r="AI158" s="1"/>
      <c r="AJ158" s="1"/>
      <c r="AK158" s="1"/>
      <c r="AL158" s="1"/>
      <c r="AM158" s="1"/>
      <c r="AN158" s="1"/>
      <c r="AO158" s="1"/>
      <c r="AP158" s="1"/>
      <c r="AQ158" s="1"/>
      <c r="AR158" s="1"/>
      <c r="AS158" s="1"/>
      <c r="AT158" s="1"/>
      <c r="AU158" s="1"/>
      <c r="AV158" s="1"/>
      <c r="AW158" s="1"/>
      <c r="AX158" s="1"/>
      <c r="AY158" s="1"/>
    </row>
    <row r="159" spans="1:64" ht="4.95" customHeight="1">
      <c r="A159" s="199"/>
      <c r="B159" s="390"/>
      <c r="C159" s="390"/>
      <c r="D159" s="390"/>
      <c r="E159" s="390"/>
      <c r="F159" s="390"/>
      <c r="G159" s="390"/>
      <c r="H159" s="390"/>
      <c r="I159" s="390"/>
      <c r="J159" s="390"/>
      <c r="K159" s="390"/>
      <c r="L159" s="390"/>
      <c r="M159" s="390"/>
      <c r="N159" s="200"/>
      <c r="O159" s="199"/>
      <c r="P159" s="24"/>
      <c r="Q159" s="24"/>
      <c r="R159" s="24"/>
      <c r="S159" s="24"/>
      <c r="T159" s="24"/>
      <c r="U159" s="24"/>
      <c r="V159" s="24"/>
      <c r="W159" s="24"/>
      <c r="X159" s="24"/>
      <c r="Y159" s="24"/>
      <c r="Z159" s="24"/>
      <c r="AA159" s="24"/>
      <c r="AB159" s="200"/>
      <c r="AC159" s="1"/>
      <c r="AD159" s="1"/>
      <c r="AE159" s="1"/>
      <c r="AF159" s="1"/>
      <c r="AG159" s="1"/>
      <c r="AH159" s="1"/>
      <c r="AI159" s="1"/>
      <c r="AJ159" s="1"/>
      <c r="AK159" s="1"/>
      <c r="AL159" s="1"/>
      <c r="AM159" s="1"/>
      <c r="AN159" s="1"/>
      <c r="AO159" s="1"/>
      <c r="AP159" s="1"/>
      <c r="AQ159" s="1"/>
      <c r="AR159" s="1"/>
      <c r="AS159" s="1"/>
      <c r="AT159" s="1"/>
      <c r="AU159" s="1"/>
      <c r="AV159" s="1"/>
      <c r="AW159" s="1"/>
      <c r="AX159" s="1"/>
      <c r="AY159" s="1"/>
    </row>
    <row r="160" spans="1:64" ht="19.95" customHeight="1">
      <c r="A160" s="199"/>
      <c r="B160" s="1277" t="s">
        <v>1268</v>
      </c>
      <c r="C160" s="1277"/>
      <c r="D160" s="1277"/>
      <c r="E160" s="1277"/>
      <c r="F160" s="1277"/>
      <c r="G160" s="1277"/>
      <c r="H160" s="1277"/>
      <c r="I160" s="1277"/>
      <c r="J160" s="1277"/>
      <c r="K160" s="1277"/>
      <c r="L160" s="1277"/>
      <c r="M160" s="1277"/>
      <c r="N160" s="200"/>
      <c r="O160" s="199"/>
      <c r="P160" s="24"/>
      <c r="Q160" s="24"/>
      <c r="R160" s="24"/>
      <c r="S160" s="24"/>
      <c r="T160" s="24"/>
      <c r="U160" s="24"/>
      <c r="V160" s="24"/>
      <c r="W160" s="24"/>
      <c r="X160" s="24"/>
      <c r="Y160" s="24"/>
      <c r="Z160" s="24"/>
      <c r="AA160" s="24"/>
      <c r="AB160" s="200"/>
      <c r="AC160" s="1"/>
      <c r="AD160" s="1"/>
      <c r="AE160" s="1"/>
      <c r="AF160" s="1"/>
      <c r="AG160" s="1"/>
      <c r="AH160" s="1"/>
      <c r="AI160" s="1"/>
      <c r="AJ160" s="1"/>
      <c r="AK160" s="1"/>
      <c r="AL160" s="1"/>
      <c r="AM160" s="1"/>
      <c r="AN160" s="1"/>
      <c r="AO160" s="1"/>
      <c r="AP160" s="1"/>
      <c r="AQ160" s="1"/>
      <c r="AR160" s="1"/>
      <c r="AS160" s="1"/>
      <c r="AT160" s="1"/>
      <c r="AU160" s="1"/>
      <c r="AV160" s="1"/>
      <c r="AW160" s="1"/>
      <c r="AX160" s="1"/>
      <c r="AY160" s="1"/>
    </row>
    <row r="161" spans="1:67" ht="19.95" customHeight="1">
      <c r="A161" s="199"/>
      <c r="B161" s="1277"/>
      <c r="C161" s="1277"/>
      <c r="D161" s="1277"/>
      <c r="E161" s="1277"/>
      <c r="F161" s="1277"/>
      <c r="G161" s="1277"/>
      <c r="H161" s="1277"/>
      <c r="I161" s="1277"/>
      <c r="J161" s="1277"/>
      <c r="K161" s="1277"/>
      <c r="L161" s="1277"/>
      <c r="M161" s="1277"/>
      <c r="N161" s="200"/>
      <c r="O161" s="199"/>
      <c r="P161" s="24"/>
      <c r="Q161" s="24"/>
      <c r="R161" s="24"/>
      <c r="S161" s="24"/>
      <c r="T161" s="24"/>
      <c r="U161" s="24"/>
      <c r="V161" s="24"/>
      <c r="W161" s="24"/>
      <c r="X161" s="24"/>
      <c r="Y161" s="24"/>
      <c r="Z161" s="24"/>
      <c r="AA161" s="24"/>
      <c r="AB161" s="200"/>
      <c r="AC161" s="1"/>
      <c r="AD161" s="1"/>
      <c r="AE161" s="1"/>
      <c r="AF161" s="1"/>
      <c r="AG161" s="1"/>
      <c r="AH161" s="1"/>
      <c r="AI161" s="1"/>
      <c r="AJ161" s="1"/>
      <c r="AK161" s="1"/>
      <c r="AL161" s="1"/>
      <c r="AM161" s="1"/>
      <c r="AN161" s="1"/>
      <c r="AO161" s="1"/>
      <c r="AP161" s="1"/>
      <c r="AQ161" s="1"/>
      <c r="AR161" s="1"/>
      <c r="AS161" s="1"/>
      <c r="AT161" s="1"/>
      <c r="AU161" s="1"/>
      <c r="AV161" s="1"/>
      <c r="AW161" s="1"/>
      <c r="AX161" s="1"/>
      <c r="AY161" s="1"/>
    </row>
    <row r="162" spans="1:67" ht="10.050000000000001" customHeight="1">
      <c r="A162" s="201"/>
      <c r="B162" s="202"/>
      <c r="C162" s="202"/>
      <c r="D162" s="202"/>
      <c r="E162" s="202"/>
      <c r="F162" s="202"/>
      <c r="G162" s="202"/>
      <c r="H162" s="202"/>
      <c r="I162" s="202"/>
      <c r="J162" s="202"/>
      <c r="K162" s="202"/>
      <c r="L162" s="202"/>
      <c r="M162" s="202"/>
      <c r="N162" s="203"/>
      <c r="O162" s="201"/>
      <c r="P162" s="202"/>
      <c r="Q162" s="202"/>
      <c r="R162" s="202"/>
      <c r="S162" s="202"/>
      <c r="T162" s="202"/>
      <c r="U162" s="202"/>
      <c r="V162" s="202"/>
      <c r="W162" s="202"/>
      <c r="X162" s="202"/>
      <c r="Y162" s="202"/>
      <c r="Z162" s="202"/>
      <c r="AA162" s="202"/>
      <c r="AB162" s="203"/>
      <c r="AC162" s="1"/>
      <c r="AD162" s="1"/>
      <c r="AE162" s="1"/>
      <c r="AF162" s="1"/>
      <c r="AG162" s="1"/>
      <c r="AH162" s="1"/>
      <c r="AI162" s="1"/>
      <c r="AJ162" s="1"/>
      <c r="AK162" s="1"/>
      <c r="AL162" s="1"/>
      <c r="AM162" s="1"/>
      <c r="AN162" s="1"/>
      <c r="AO162" s="1"/>
      <c r="AP162" s="1"/>
      <c r="AQ162" s="1"/>
      <c r="AR162" s="1"/>
      <c r="AS162" s="1"/>
      <c r="AT162" s="1"/>
      <c r="AU162" s="1"/>
      <c r="AV162" s="1"/>
      <c r="AW162" s="1"/>
      <c r="AX162" s="1"/>
      <c r="AY162" s="1"/>
    </row>
    <row r="163" spans="1:67" ht="30" customHeight="1">
      <c r="A163" s="210" t="s">
        <v>1148</v>
      </c>
      <c r="B163" s="1307" t="s">
        <v>1269</v>
      </c>
      <c r="C163" s="1307"/>
      <c r="D163" s="1307"/>
      <c r="E163" s="1307"/>
      <c r="F163" s="1307"/>
      <c r="G163" s="1307"/>
      <c r="H163" s="1307"/>
      <c r="I163" s="1307"/>
      <c r="J163" s="1307"/>
      <c r="K163" s="1307"/>
      <c r="L163" s="1307"/>
      <c r="M163" s="1307"/>
      <c r="N163" s="211" t="s">
        <v>1149</v>
      </c>
      <c r="O163" s="210"/>
      <c r="P163" s="198"/>
      <c r="Q163" s="198"/>
      <c r="R163" s="198"/>
      <c r="S163" s="198"/>
      <c r="T163" s="198"/>
      <c r="U163" s="198"/>
      <c r="V163" s="198"/>
      <c r="W163" s="198"/>
      <c r="X163" s="198"/>
      <c r="Y163" s="198"/>
      <c r="Z163" s="198"/>
      <c r="AA163" s="198"/>
      <c r="AB163" s="211" t="s">
        <v>1149</v>
      </c>
      <c r="AC163" s="577"/>
      <c r="AD163" s="1"/>
      <c r="AE163" s="1"/>
      <c r="AF163" s="1"/>
      <c r="AG163" s="1"/>
      <c r="AH163" s="1"/>
      <c r="AI163" s="1"/>
      <c r="AJ163" s="1"/>
      <c r="AK163" s="1"/>
      <c r="AL163" s="1"/>
      <c r="AM163" s="1"/>
      <c r="AN163" s="1"/>
      <c r="AO163" s="1"/>
      <c r="AP163" s="577"/>
      <c r="AQ163" s="577"/>
      <c r="AR163" s="577"/>
      <c r="AS163" s="577"/>
      <c r="AT163" s="577"/>
      <c r="AU163" s="577"/>
      <c r="AV163" s="577"/>
      <c r="AW163" s="577"/>
      <c r="AX163" s="577"/>
      <c r="AY163" s="577"/>
    </row>
    <row r="164" spans="1:67" ht="10.050000000000001" customHeight="1">
      <c r="A164" s="199"/>
      <c r="B164" s="24"/>
      <c r="C164" s="24"/>
      <c r="D164" s="24"/>
      <c r="E164" s="24"/>
      <c r="F164" s="24"/>
      <c r="G164" s="24"/>
      <c r="H164" s="24"/>
      <c r="I164" s="24"/>
      <c r="J164" s="24"/>
      <c r="K164" s="24"/>
      <c r="L164" s="24"/>
      <c r="M164" s="24"/>
      <c r="N164" s="200"/>
      <c r="O164" s="199"/>
      <c r="P164" s="24"/>
      <c r="Q164" s="24"/>
      <c r="R164" s="24"/>
      <c r="S164" s="24"/>
      <c r="T164" s="24"/>
      <c r="U164" s="24"/>
      <c r="V164" s="24"/>
      <c r="W164" s="24"/>
      <c r="X164" s="24"/>
      <c r="Y164" s="24"/>
      <c r="Z164" s="24"/>
      <c r="AA164" s="24"/>
      <c r="AB164" s="200"/>
      <c r="AC164" s="1"/>
      <c r="AD164" s="1"/>
      <c r="AE164" s="1"/>
      <c r="AF164" s="1"/>
      <c r="AG164" s="1"/>
      <c r="AH164" s="1"/>
      <c r="AI164" s="1"/>
      <c r="AJ164" s="1"/>
      <c r="AK164" s="1"/>
      <c r="AL164" s="1"/>
      <c r="AM164" s="1"/>
      <c r="AN164" s="1"/>
      <c r="AO164" s="1"/>
      <c r="AP164" s="1"/>
      <c r="AQ164" s="1"/>
      <c r="AR164" s="1"/>
      <c r="AS164" s="1"/>
      <c r="AT164" s="1"/>
      <c r="AU164" s="1"/>
      <c r="AV164" s="1"/>
      <c r="AW164" s="1"/>
      <c r="AX164" s="1"/>
      <c r="AY164" s="1"/>
    </row>
    <row r="165" spans="1:67" ht="19.95" customHeight="1">
      <c r="A165" s="199"/>
      <c r="B165" s="588" t="s">
        <v>2022</v>
      </c>
      <c r="C165" s="397"/>
      <c r="D165" s="397"/>
      <c r="E165" s="397"/>
      <c r="F165" s="397"/>
      <c r="G165" s="397"/>
      <c r="H165" s="397"/>
      <c r="I165" s="397"/>
      <c r="J165" s="397"/>
      <c r="K165" s="397"/>
      <c r="L165" s="397"/>
      <c r="M165" s="397"/>
      <c r="N165" s="200"/>
      <c r="O165" s="199"/>
      <c r="P165" s="24"/>
      <c r="Q165" s="24"/>
      <c r="R165" s="24"/>
      <c r="S165" s="24"/>
      <c r="T165" s="24"/>
      <c r="U165" s="24"/>
      <c r="V165" s="24"/>
      <c r="W165" s="24"/>
      <c r="X165" s="24"/>
      <c r="Y165" s="24"/>
      <c r="Z165" s="24"/>
      <c r="AA165" s="24"/>
      <c r="AB165" s="200"/>
      <c r="AC165" s="1"/>
      <c r="AD165" s="1"/>
      <c r="AE165" s="1"/>
      <c r="AF165" s="1"/>
      <c r="AG165" s="1"/>
      <c r="AH165" s="1"/>
      <c r="AI165" s="1"/>
      <c r="AJ165" s="1"/>
      <c r="AK165" s="1"/>
      <c r="AL165" s="1"/>
      <c r="AM165" s="1"/>
      <c r="AN165" s="1"/>
      <c r="AO165" s="1"/>
      <c r="AP165" s="1"/>
      <c r="AQ165" s="1"/>
      <c r="AR165" s="1"/>
      <c r="AS165" s="1"/>
      <c r="AT165" s="1"/>
      <c r="AU165" s="1"/>
      <c r="AV165" s="1"/>
      <c r="AW165" s="1"/>
      <c r="AX165" s="1"/>
      <c r="AY165" s="1"/>
    </row>
    <row r="166" spans="1:67" ht="4.95" customHeight="1">
      <c r="A166" s="199"/>
      <c r="B166" s="397"/>
      <c r="C166" s="397"/>
      <c r="D166" s="397"/>
      <c r="E166" s="397"/>
      <c r="F166" s="397"/>
      <c r="G166" s="397"/>
      <c r="H166" s="397"/>
      <c r="I166" s="397"/>
      <c r="J166" s="397"/>
      <c r="K166" s="397"/>
      <c r="L166" s="397"/>
      <c r="M166" s="397"/>
      <c r="N166" s="200"/>
      <c r="O166" s="199"/>
      <c r="P166" s="24"/>
      <c r="Q166" s="24"/>
      <c r="R166" s="24"/>
      <c r="S166" s="24"/>
      <c r="T166" s="24"/>
      <c r="U166" s="24"/>
      <c r="V166" s="24"/>
      <c r="W166" s="24"/>
      <c r="X166" s="24"/>
      <c r="Y166" s="24"/>
      <c r="Z166" s="24"/>
      <c r="AA166" s="24"/>
      <c r="AB166" s="200"/>
      <c r="AC166" s="1"/>
      <c r="AD166" s="1"/>
      <c r="AE166" s="1"/>
      <c r="AF166" s="1"/>
      <c r="AG166" s="1"/>
      <c r="AH166" s="1"/>
      <c r="AI166" s="1"/>
      <c r="AJ166" s="1"/>
      <c r="AK166" s="1"/>
      <c r="AL166" s="1"/>
      <c r="AM166" s="1"/>
      <c r="AN166" s="1"/>
      <c r="AO166" s="1"/>
      <c r="AP166" s="1"/>
      <c r="AQ166" s="1"/>
      <c r="AR166" s="1"/>
      <c r="AS166" s="1"/>
      <c r="AT166" s="1"/>
      <c r="AU166" s="1"/>
      <c r="AV166" s="1"/>
      <c r="AW166" s="1"/>
      <c r="AX166" s="1"/>
      <c r="AY166" s="1"/>
    </row>
    <row r="167" spans="1:67" ht="21" customHeight="1">
      <c r="A167" s="199"/>
      <c r="B167" s="1277" t="str">
        <f>BF167</f>
        <v>As a counselor, you can now understand how your client experiences immigration-related challenges like alienation and insecurity through the lens of their prioritized needs. Think of their political views as a helpful window into their priority of needs.</v>
      </c>
      <c r="C167" s="1277"/>
      <c r="D167" s="1277"/>
      <c r="E167" s="1277"/>
      <c r="F167" s="1277"/>
      <c r="G167" s="1277"/>
      <c r="H167" s="1277"/>
      <c r="I167" s="1277"/>
      <c r="J167" s="1277"/>
      <c r="K167" s="1277"/>
      <c r="L167" s="1277"/>
      <c r="M167" s="1277"/>
      <c r="N167" s="200"/>
      <c r="O167" s="199"/>
      <c r="P167" s="24"/>
      <c r="Q167" s="24"/>
      <c r="R167" s="24"/>
      <c r="S167" s="24"/>
      <c r="T167" s="24"/>
      <c r="U167" s="24"/>
      <c r="V167" s="24"/>
      <c r="W167" s="24"/>
      <c r="X167" s="24"/>
      <c r="Y167" s="24"/>
      <c r="Z167" s="24"/>
      <c r="AA167" s="24"/>
      <c r="AB167" s="200"/>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BF167" s="459" t="str">
        <f>CONCATENATE(BH167,BI167,BJ167,BK167,BL167,BM167,BN167)</f>
        <v>As a counselor, you can now understand how your client experiences immigration-related challenges like alienation and insecurity through the lens of their prioritized needs. Think of their political views as a helpful window into their priority of needs.</v>
      </c>
      <c r="BH167" s="465" t="s">
        <v>1376</v>
      </c>
      <c r="BI167" s="2" t="str">
        <f>IF($D$1124="","politically",$D$1124)</f>
        <v>immigration</v>
      </c>
      <c r="BJ167" s="466" t="s">
        <v>1377</v>
      </c>
      <c r="BK167" s="2" t="str">
        <f>IF(OR($H$101="",X1124=0),"stress",X1124)</f>
        <v>alienation</v>
      </c>
      <c r="BL167" s="465" t="s">
        <v>1378</v>
      </c>
      <c r="BM167" s="2" t="str">
        <f>IF(OR($H$101="",Z1124=0),"anxiety",Y1124)</f>
        <v>insecurity</v>
      </c>
      <c r="BN167" s="465" t="s">
        <v>1379</v>
      </c>
    </row>
    <row r="168" spans="1:67" ht="21" customHeight="1">
      <c r="A168" s="199"/>
      <c r="B168" s="1277"/>
      <c r="C168" s="1277"/>
      <c r="D168" s="1277"/>
      <c r="E168" s="1277"/>
      <c r="F168" s="1277"/>
      <c r="G168" s="1277"/>
      <c r="H168" s="1277"/>
      <c r="I168" s="1277"/>
      <c r="J168" s="1277"/>
      <c r="K168" s="1277"/>
      <c r="L168" s="1277"/>
      <c r="M168" s="1277"/>
      <c r="N168" s="200"/>
      <c r="O168" s="199"/>
      <c r="P168" s="24"/>
      <c r="Q168" s="24"/>
      <c r="R168" s="24"/>
      <c r="S168" s="24"/>
      <c r="T168" s="24"/>
      <c r="U168" s="24"/>
      <c r="V168" s="24"/>
      <c r="W168" s="24"/>
      <c r="X168" s="24"/>
      <c r="Y168" s="24"/>
      <c r="Z168" s="24"/>
      <c r="AA168" s="24"/>
      <c r="AB168" s="200"/>
      <c r="AC168" s="1"/>
      <c r="AD168" s="1"/>
      <c r="AE168" s="1"/>
      <c r="AF168" s="1"/>
      <c r="AG168" s="1"/>
      <c r="AH168" s="1"/>
      <c r="AI168" s="1"/>
      <c r="AJ168" s="1"/>
      <c r="AK168" s="1"/>
      <c r="AL168" s="1"/>
      <c r="AM168" s="1"/>
      <c r="AN168" s="1"/>
      <c r="AO168" s="1"/>
      <c r="AP168" s="1"/>
      <c r="AQ168" s="1"/>
      <c r="AR168" s="1"/>
      <c r="AS168" s="1"/>
      <c r="AT168" s="1"/>
      <c r="AU168" s="1"/>
      <c r="AV168" s="1"/>
      <c r="AW168" s="1"/>
      <c r="AX168" s="1"/>
      <c r="AY168" s="1"/>
    </row>
    <row r="169" spans="1:67" ht="21" customHeight="1">
      <c r="A169" s="199"/>
      <c r="B169" s="1277"/>
      <c r="C169" s="1277"/>
      <c r="D169" s="1277"/>
      <c r="E169" s="1277"/>
      <c r="F169" s="1277"/>
      <c r="G169" s="1277"/>
      <c r="H169" s="1277"/>
      <c r="I169" s="1277"/>
      <c r="J169" s="1277"/>
      <c r="K169" s="1277"/>
      <c r="L169" s="1277"/>
      <c r="M169" s="1277"/>
      <c r="N169" s="200"/>
      <c r="O169" s="199"/>
      <c r="P169" s="24"/>
      <c r="Q169" s="24"/>
      <c r="R169" s="24"/>
      <c r="S169" s="24"/>
      <c r="T169" s="24"/>
      <c r="U169" s="24"/>
      <c r="V169" s="24"/>
      <c r="W169" s="24"/>
      <c r="X169" s="24"/>
      <c r="Y169" s="24"/>
      <c r="Z169" s="24"/>
      <c r="AA169" s="24"/>
      <c r="AB169" s="200"/>
      <c r="AC169" s="1"/>
      <c r="AD169" s="1"/>
      <c r="AE169" s="1"/>
      <c r="AF169" s="1"/>
      <c r="AG169" s="1"/>
      <c r="AH169" s="1"/>
      <c r="AI169" s="1"/>
      <c r="AJ169" s="1"/>
      <c r="AK169" s="1"/>
      <c r="AL169" s="1"/>
      <c r="AM169" s="1"/>
      <c r="AN169" s="1"/>
      <c r="AO169" s="1"/>
      <c r="AP169" s="1"/>
      <c r="AQ169" s="1"/>
      <c r="AR169" s="1"/>
      <c r="AS169" s="1"/>
      <c r="AT169" s="1"/>
      <c r="AU169" s="1"/>
      <c r="AV169" s="1"/>
      <c r="AW169" s="1"/>
      <c r="AX169" s="1"/>
      <c r="AY169" s="1"/>
    </row>
    <row r="170" spans="1:67" ht="4.95" customHeight="1">
      <c r="A170" s="199"/>
      <c r="B170" s="24"/>
      <c r="C170" s="24"/>
      <c r="D170" s="24"/>
      <c r="E170" s="24"/>
      <c r="F170" s="24"/>
      <c r="G170" s="24"/>
      <c r="H170" s="24"/>
      <c r="I170" s="24"/>
      <c r="J170" s="24"/>
      <c r="K170" s="24"/>
      <c r="L170" s="24"/>
      <c r="M170" s="24"/>
      <c r="N170" s="200"/>
      <c r="O170" s="199"/>
      <c r="P170" s="24"/>
      <c r="Q170" s="24"/>
      <c r="R170" s="24"/>
      <c r="S170" s="24"/>
      <c r="T170" s="24"/>
      <c r="U170" s="24"/>
      <c r="V170" s="24"/>
      <c r="W170" s="24"/>
      <c r="X170" s="24"/>
      <c r="Y170" s="24"/>
      <c r="Z170" s="24"/>
      <c r="AA170" s="24"/>
      <c r="AB170" s="200"/>
      <c r="AC170" s="1"/>
      <c r="AD170" s="1"/>
      <c r="AE170" s="1"/>
      <c r="AF170" s="1"/>
      <c r="AG170" s="1"/>
      <c r="AH170" s="1"/>
      <c r="AI170" s="1"/>
      <c r="AJ170" s="1"/>
      <c r="AK170" s="1"/>
      <c r="AL170" s="1"/>
      <c r="AM170" s="1"/>
      <c r="AN170" s="1"/>
      <c r="AO170" s="1"/>
      <c r="AP170" s="1"/>
      <c r="AQ170" s="1"/>
      <c r="AR170" s="1"/>
      <c r="AS170" s="1"/>
      <c r="AT170" s="1"/>
      <c r="AU170" s="1"/>
      <c r="AV170" s="1"/>
      <c r="AW170" s="1"/>
      <c r="AX170" s="1"/>
      <c r="AY170" s="1"/>
    </row>
    <row r="171" spans="1:67" ht="19.95" customHeight="1">
      <c r="A171" s="199"/>
      <c r="B171" s="1277" t="s">
        <v>2007</v>
      </c>
      <c r="C171" s="1277"/>
      <c r="D171" s="1277"/>
      <c r="E171" s="1277"/>
      <c r="F171" s="1277"/>
      <c r="G171" s="1277"/>
      <c r="H171" s="1277"/>
      <c r="I171" s="1277"/>
      <c r="J171" s="1277"/>
      <c r="K171" s="1277"/>
      <c r="L171" s="1277"/>
      <c r="M171" s="1277"/>
      <c r="N171" s="200"/>
      <c r="O171" s="199"/>
      <c r="P171" s="24"/>
      <c r="Q171" s="24"/>
      <c r="R171" s="24"/>
      <c r="S171" s="24"/>
      <c r="T171" s="24"/>
      <c r="U171" s="24"/>
      <c r="V171" s="24"/>
      <c r="W171" s="24"/>
      <c r="X171" s="24"/>
      <c r="Y171" s="24"/>
      <c r="Z171" s="24"/>
      <c r="AA171" s="24"/>
      <c r="AB171" s="200"/>
      <c r="AC171" s="1"/>
      <c r="AD171" s="1"/>
      <c r="AE171" s="1"/>
      <c r="AF171" s="1"/>
      <c r="AG171" s="1"/>
      <c r="AH171" s="1"/>
      <c r="AI171" s="1"/>
      <c r="AJ171" s="1"/>
      <c r="AK171" s="1"/>
      <c r="AL171" s="1"/>
      <c r="AM171" s="1"/>
      <c r="AN171" s="1"/>
      <c r="AO171" s="1"/>
      <c r="AP171" s="1"/>
      <c r="AQ171" s="1"/>
      <c r="AR171" s="1"/>
      <c r="AS171" s="1"/>
      <c r="AT171" s="1"/>
      <c r="AU171" s="1"/>
      <c r="AV171" s="1"/>
      <c r="AW171" s="1"/>
      <c r="AX171" s="1"/>
      <c r="AY171" s="1"/>
    </row>
    <row r="172" spans="1:67" ht="19.95" customHeight="1">
      <c r="A172" s="199"/>
      <c r="B172" s="1277"/>
      <c r="C172" s="1277"/>
      <c r="D172" s="1277"/>
      <c r="E172" s="1277"/>
      <c r="F172" s="1277"/>
      <c r="G172" s="1277"/>
      <c r="H172" s="1277"/>
      <c r="I172" s="1277"/>
      <c r="J172" s="1277"/>
      <c r="K172" s="1277"/>
      <c r="L172" s="1277"/>
      <c r="M172" s="1277"/>
      <c r="N172" s="200"/>
      <c r="O172" s="199"/>
      <c r="P172" s="24"/>
      <c r="Q172" s="24"/>
      <c r="R172" s="24"/>
      <c r="S172" s="24"/>
      <c r="T172" s="24"/>
      <c r="U172" s="24"/>
      <c r="V172" s="24"/>
      <c r="W172" s="24"/>
      <c r="X172" s="24"/>
      <c r="Y172" s="24"/>
      <c r="Z172" s="24"/>
      <c r="AA172" s="24"/>
      <c r="AB172" s="200"/>
      <c r="AC172" s="1"/>
      <c r="AD172" s="1"/>
      <c r="AE172" s="1"/>
      <c r="AF172" s="1"/>
      <c r="AG172" s="1"/>
      <c r="AH172" s="1"/>
      <c r="AI172" s="1"/>
      <c r="AJ172" s="1"/>
      <c r="AK172" s="1"/>
      <c r="AL172" s="1"/>
      <c r="AM172" s="1"/>
      <c r="AN172" s="1"/>
      <c r="AO172" s="1"/>
      <c r="AP172" s="1"/>
      <c r="AQ172" s="1"/>
      <c r="AR172" s="1"/>
      <c r="AS172" s="1"/>
      <c r="AT172" s="1"/>
      <c r="AU172" s="1"/>
      <c r="AV172" s="1"/>
      <c r="AW172" s="1"/>
      <c r="AX172" s="1"/>
      <c r="AY172" s="1"/>
    </row>
    <row r="173" spans="1:67" ht="19.95" customHeight="1">
      <c r="A173" s="199"/>
      <c r="B173" s="1277"/>
      <c r="C173" s="1277"/>
      <c r="D173" s="1277"/>
      <c r="E173" s="1277"/>
      <c r="F173" s="1277"/>
      <c r="G173" s="1277"/>
      <c r="H173" s="1277"/>
      <c r="I173" s="1277"/>
      <c r="J173" s="1277"/>
      <c r="K173" s="1277"/>
      <c r="L173" s="1277"/>
      <c r="M173" s="1277"/>
      <c r="N173" s="200"/>
      <c r="O173" s="199"/>
      <c r="P173" s="24"/>
      <c r="Q173" s="24"/>
      <c r="R173" s="24"/>
      <c r="S173" s="24"/>
      <c r="T173" s="24"/>
      <c r="U173" s="24"/>
      <c r="V173" s="24"/>
      <c r="W173" s="24"/>
      <c r="X173" s="24"/>
      <c r="Y173" s="24"/>
      <c r="Z173" s="24"/>
      <c r="AA173" s="24"/>
      <c r="AB173" s="200"/>
      <c r="AC173" s="1"/>
      <c r="AD173" s="1"/>
      <c r="AE173" s="1"/>
      <c r="AF173" s="1"/>
      <c r="AG173" s="1"/>
      <c r="AH173" s="1"/>
      <c r="AI173" s="1"/>
      <c r="AJ173" s="1"/>
      <c r="AK173" s="1"/>
      <c r="AL173" s="1"/>
      <c r="AM173" s="1"/>
      <c r="AN173" s="1"/>
      <c r="AO173" s="1"/>
      <c r="AP173" s="1"/>
      <c r="AQ173" s="1"/>
      <c r="AR173" s="1"/>
      <c r="AS173" s="1"/>
      <c r="AT173" s="1"/>
      <c r="AU173" s="1"/>
      <c r="AV173" s="1"/>
      <c r="AW173" s="1"/>
      <c r="AX173" s="1"/>
      <c r="AY173" s="1"/>
    </row>
    <row r="174" spans="1:67" ht="4.95" customHeight="1">
      <c r="A174" s="199"/>
      <c r="B174" s="24"/>
      <c r="C174" s="24"/>
      <c r="D174" s="24"/>
      <c r="E174" s="24"/>
      <c r="F174" s="24"/>
      <c r="G174" s="24"/>
      <c r="H174" s="24"/>
      <c r="I174" s="24"/>
      <c r="J174" s="24"/>
      <c r="K174" s="24"/>
      <c r="L174" s="24"/>
      <c r="M174" s="24"/>
      <c r="N174" s="200"/>
      <c r="O174" s="199"/>
      <c r="P174" s="24"/>
      <c r="Q174" s="24"/>
      <c r="R174" s="24"/>
      <c r="S174" s="24"/>
      <c r="T174" s="24"/>
      <c r="U174" s="24"/>
      <c r="V174" s="24"/>
      <c r="W174" s="24"/>
      <c r="X174" s="24"/>
      <c r="Y174" s="24"/>
      <c r="Z174" s="24"/>
      <c r="AA174" s="24"/>
      <c r="AB174" s="200"/>
      <c r="AC174" s="1"/>
      <c r="AD174" s="1"/>
      <c r="AE174" s="1"/>
      <c r="AF174" s="1"/>
      <c r="AG174" s="1"/>
      <c r="AH174" s="1"/>
      <c r="AI174" s="1"/>
      <c r="AJ174" s="1"/>
      <c r="AK174" s="1"/>
      <c r="AL174" s="1"/>
      <c r="AM174" s="1"/>
      <c r="AN174" s="1"/>
      <c r="AO174" s="1"/>
      <c r="AP174" s="1"/>
      <c r="AQ174" s="1"/>
      <c r="AR174" s="1"/>
      <c r="AS174" s="1"/>
      <c r="AT174" s="1"/>
      <c r="AU174" s="1"/>
      <c r="AV174" s="1"/>
      <c r="AW174" s="1"/>
      <c r="AX174" s="1"/>
      <c r="AY174" s="1"/>
    </row>
    <row r="175" spans="1:67" ht="21" customHeight="1">
      <c r="A175" s="199"/>
      <c r="B175" s="1277" t="str">
        <f>BF175</f>
        <v xml:space="preserve">You gravitate to certain political beliefs because they serve your particular set of needs. Now you can relate to the particular set of needs of others expressed by beliefs different from your own, including your clients. Your political beliefs about immigration serve your specific needs. Your client likey has a different experience of needs around immigration. You understand their experience of immigration-related needs through their political views. You leave notions of rational choice at the door. </v>
      </c>
      <c r="C175" s="1277"/>
      <c r="D175" s="1277"/>
      <c r="E175" s="1277"/>
      <c r="F175" s="1277"/>
      <c r="G175" s="1277"/>
      <c r="H175" s="1277"/>
      <c r="I175" s="1277"/>
      <c r="J175" s="1277"/>
      <c r="K175" s="1277"/>
      <c r="L175" s="1277"/>
      <c r="M175" s="1277"/>
      <c r="N175" s="200"/>
      <c r="O175" s="199"/>
      <c r="P175" s="24"/>
      <c r="Q175" s="24"/>
      <c r="R175" s="24"/>
      <c r="S175" s="24"/>
      <c r="T175" s="24"/>
      <c r="U175" s="24"/>
      <c r="V175" s="24"/>
      <c r="W175" s="24"/>
      <c r="X175" s="24"/>
      <c r="Y175" s="24"/>
      <c r="Z175" s="24"/>
      <c r="AA175" s="24"/>
      <c r="AB175" s="200"/>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BF175" s="459" t="str">
        <f>CONCATENATE(BH175,BI175,BJ175,BK175,BL175,BM175,BN175,BO175)</f>
        <v xml:space="preserve">You gravitate to certain political beliefs because they serve your particular set of needs. Now you can relate to the particular set of needs of others expressed by beliefs different from your own, including your clients. Your political beliefs about immigration serve your specific needs. Your client likey has a different experience of needs around immigration. You understand their experience of immigration-related needs through their political views. You leave notions of rational choice at the door. </v>
      </c>
      <c r="BH175" s="465" t="s">
        <v>1380</v>
      </c>
      <c r="BI175" s="2" t="str">
        <f>IF($D$1124="","hot button issues",$D$1124)</f>
        <v>immigration</v>
      </c>
      <c r="BJ175" s="465" t="s">
        <v>1381</v>
      </c>
      <c r="BK175" s="2" t="str">
        <f>IF($D$1124="","such issues",$D$1124)</f>
        <v>immigration</v>
      </c>
      <c r="BL175" s="465" t="s">
        <v>1382</v>
      </c>
      <c r="BM175" s="2" t="str">
        <f>IF($D$1124="","each issue",$D$1124)</f>
        <v>immigration</v>
      </c>
      <c r="BN175" s="2" t="str">
        <f>IF(H101="","-related need","-related needs")</f>
        <v>-related needs</v>
      </c>
      <c r="BO175" s="466" t="s">
        <v>1383</v>
      </c>
    </row>
    <row r="176" spans="1:67" ht="21" customHeight="1">
      <c r="A176" s="199"/>
      <c r="B176" s="1277"/>
      <c r="C176" s="1277"/>
      <c r="D176" s="1277"/>
      <c r="E176" s="1277"/>
      <c r="F176" s="1277"/>
      <c r="G176" s="1277"/>
      <c r="H176" s="1277"/>
      <c r="I176" s="1277"/>
      <c r="J176" s="1277"/>
      <c r="K176" s="1277"/>
      <c r="L176" s="1277"/>
      <c r="M176" s="1277"/>
      <c r="N176" s="200"/>
      <c r="O176" s="199"/>
      <c r="P176" s="24"/>
      <c r="Q176" s="24"/>
      <c r="R176" s="24"/>
      <c r="S176" s="24"/>
      <c r="T176" s="24"/>
      <c r="U176" s="24"/>
      <c r="V176" s="24"/>
      <c r="W176" s="24"/>
      <c r="X176" s="24"/>
      <c r="Y176" s="24"/>
      <c r="Z176" s="24"/>
      <c r="AA176" s="24"/>
      <c r="AB176" s="200"/>
      <c r="AC176" s="1"/>
      <c r="AD176" s="1"/>
      <c r="AE176" s="1"/>
      <c r="AF176" s="1"/>
      <c r="AG176" s="1"/>
      <c r="AH176" s="1"/>
      <c r="AI176" s="1"/>
      <c r="AJ176" s="1"/>
      <c r="AK176" s="1"/>
      <c r="AL176" s="1"/>
      <c r="AM176" s="1"/>
      <c r="AN176" s="1"/>
      <c r="AO176" s="1"/>
      <c r="AP176" s="1"/>
      <c r="AQ176" s="1"/>
      <c r="AR176" s="1"/>
      <c r="AS176" s="1"/>
      <c r="AT176" s="1"/>
      <c r="AU176" s="1"/>
      <c r="AV176" s="1"/>
      <c r="AW176" s="1"/>
      <c r="AX176" s="1"/>
      <c r="AY176" s="1"/>
    </row>
    <row r="177" spans="1:105" ht="21" customHeight="1">
      <c r="A177" s="199"/>
      <c r="B177" s="1277"/>
      <c r="C177" s="1277"/>
      <c r="D177" s="1277"/>
      <c r="E177" s="1277"/>
      <c r="F177" s="1277"/>
      <c r="G177" s="1277"/>
      <c r="H177" s="1277"/>
      <c r="I177" s="1277"/>
      <c r="J177" s="1277"/>
      <c r="K177" s="1277"/>
      <c r="L177" s="1277"/>
      <c r="M177" s="1277"/>
      <c r="N177" s="200"/>
      <c r="O177" s="199"/>
      <c r="P177" s="24"/>
      <c r="Q177" s="24"/>
      <c r="R177" s="24"/>
      <c r="S177" s="24"/>
      <c r="T177" s="24"/>
      <c r="U177" s="24"/>
      <c r="V177" s="24"/>
      <c r="W177" s="24"/>
      <c r="X177" s="24"/>
      <c r="Y177" s="24"/>
      <c r="Z177" s="24"/>
      <c r="AA177" s="24"/>
      <c r="AB177" s="200"/>
      <c r="AC177" s="1"/>
      <c r="AD177" s="1"/>
      <c r="AE177" s="1"/>
      <c r="AF177" s="1"/>
      <c r="AG177" s="1"/>
      <c r="AH177" s="1"/>
      <c r="AI177" s="1"/>
      <c r="AJ177" s="1"/>
      <c r="AK177" s="1"/>
      <c r="AL177" s="1"/>
      <c r="AM177" s="1"/>
      <c r="AN177" s="1"/>
      <c r="AO177" s="1"/>
      <c r="AP177" s="1"/>
      <c r="AQ177" s="1"/>
      <c r="AR177" s="1"/>
      <c r="AS177" s="1"/>
      <c r="AT177" s="1"/>
      <c r="AU177" s="1"/>
      <c r="AV177" s="1"/>
      <c r="AW177" s="1"/>
      <c r="AX177" s="1"/>
      <c r="AY177" s="1"/>
    </row>
    <row r="178" spans="1:105" ht="21" customHeight="1">
      <c r="A178" s="199"/>
      <c r="B178" s="1277"/>
      <c r="C178" s="1277"/>
      <c r="D178" s="1277"/>
      <c r="E178" s="1277"/>
      <c r="F178" s="1277"/>
      <c r="G178" s="1277"/>
      <c r="H178" s="1277"/>
      <c r="I178" s="1277"/>
      <c r="J178" s="1277"/>
      <c r="K178" s="1277"/>
      <c r="L178" s="1277"/>
      <c r="M178" s="1277"/>
      <c r="N178" s="200"/>
      <c r="O178" s="199"/>
      <c r="P178" s="24"/>
      <c r="Q178" s="24"/>
      <c r="R178" s="24"/>
      <c r="S178" s="24"/>
      <c r="T178" s="24"/>
      <c r="U178" s="24"/>
      <c r="V178" s="24"/>
      <c r="W178" s="24"/>
      <c r="X178" s="24"/>
      <c r="Y178" s="24"/>
      <c r="Z178" s="24"/>
      <c r="AA178" s="24"/>
      <c r="AB178" s="200"/>
      <c r="AC178" s="1"/>
      <c r="AD178" s="1"/>
      <c r="AE178" s="1"/>
      <c r="AF178" s="1"/>
      <c r="AG178" s="1"/>
      <c r="AH178" s="1"/>
      <c r="AI178" s="1"/>
      <c r="AJ178" s="1"/>
      <c r="AK178" s="1"/>
      <c r="AL178" s="1"/>
      <c r="AM178" s="1"/>
      <c r="AN178" s="1"/>
      <c r="AO178" s="1"/>
      <c r="AP178" s="1"/>
      <c r="AQ178" s="1"/>
      <c r="AR178" s="1"/>
      <c r="AS178" s="1"/>
      <c r="AT178" s="1"/>
      <c r="AU178" s="1"/>
      <c r="AV178" s="1"/>
      <c r="AW178" s="1"/>
      <c r="AX178" s="1"/>
      <c r="AY178" s="1"/>
    </row>
    <row r="179" spans="1:105" ht="21" customHeight="1">
      <c r="A179" s="199"/>
      <c r="B179" s="1277"/>
      <c r="C179" s="1277"/>
      <c r="D179" s="1277"/>
      <c r="E179" s="1277"/>
      <c r="F179" s="1277"/>
      <c r="G179" s="1277"/>
      <c r="H179" s="1277"/>
      <c r="I179" s="1277"/>
      <c r="J179" s="1277"/>
      <c r="K179" s="1277"/>
      <c r="L179" s="1277"/>
      <c r="M179" s="1277"/>
      <c r="N179" s="200"/>
      <c r="O179" s="199"/>
      <c r="P179" s="24"/>
      <c r="Q179" s="24"/>
      <c r="R179" s="24"/>
      <c r="S179" s="24"/>
      <c r="T179" s="24"/>
      <c r="U179" s="24"/>
      <c r="V179" s="24"/>
      <c r="W179" s="24"/>
      <c r="X179" s="24"/>
      <c r="Y179" s="24"/>
      <c r="Z179" s="24"/>
      <c r="AA179" s="24"/>
      <c r="AB179" s="200"/>
      <c r="AC179" s="1"/>
      <c r="AD179" s="1"/>
      <c r="AE179" s="1"/>
      <c r="AF179" s="1"/>
      <c r="AG179" s="1"/>
      <c r="AH179" s="1"/>
      <c r="AI179" s="1"/>
      <c r="AJ179" s="1"/>
      <c r="AK179" s="1"/>
      <c r="AL179" s="1"/>
      <c r="AM179" s="1"/>
      <c r="AN179" s="1"/>
      <c r="AO179" s="1"/>
      <c r="AP179" s="1"/>
      <c r="AQ179" s="1"/>
      <c r="AR179" s="1"/>
      <c r="AS179" s="1"/>
      <c r="AT179" s="1"/>
      <c r="AU179" s="1"/>
      <c r="AV179" s="1"/>
      <c r="AW179" s="1"/>
      <c r="AX179" s="1"/>
      <c r="AY179" s="1"/>
    </row>
    <row r="180" spans="1:105" ht="4.95" customHeight="1">
      <c r="A180" s="199"/>
      <c r="B180" s="24"/>
      <c r="C180" s="24"/>
      <c r="D180" s="24"/>
      <c r="E180" s="24"/>
      <c r="F180" s="24"/>
      <c r="G180" s="24"/>
      <c r="H180" s="24"/>
      <c r="I180" s="24"/>
      <c r="J180" s="24"/>
      <c r="K180" s="24"/>
      <c r="L180" s="24"/>
      <c r="M180" s="24"/>
      <c r="N180" s="200"/>
      <c r="O180" s="199"/>
      <c r="P180" s="24"/>
      <c r="Q180" s="24"/>
      <c r="R180" s="24"/>
      <c r="S180" s="24"/>
      <c r="T180" s="24"/>
      <c r="U180" s="24"/>
      <c r="V180" s="24"/>
      <c r="W180" s="24"/>
      <c r="X180" s="24"/>
      <c r="Y180" s="24"/>
      <c r="Z180" s="24"/>
      <c r="AA180" s="24"/>
      <c r="AB180" s="200"/>
      <c r="AC180" s="1"/>
      <c r="AD180" s="1"/>
      <c r="AE180" s="1"/>
      <c r="AF180" s="1"/>
      <c r="AG180" s="1"/>
      <c r="AH180" s="1"/>
      <c r="AI180" s="1"/>
      <c r="AJ180" s="1"/>
      <c r="AK180" s="1"/>
      <c r="AL180" s="1"/>
      <c r="AM180" s="1"/>
      <c r="AN180" s="1"/>
      <c r="AO180" s="1"/>
      <c r="AP180" s="1"/>
      <c r="AQ180" s="1"/>
      <c r="AR180" s="1"/>
      <c r="AS180" s="1"/>
      <c r="AT180" s="1"/>
      <c r="AU180" s="1"/>
      <c r="AV180" s="1"/>
      <c r="AW180" s="1"/>
      <c r="AX180" s="1"/>
      <c r="AY180" s="1"/>
    </row>
    <row r="181" spans="1:105" ht="19.05" customHeight="1">
      <c r="A181" s="199"/>
      <c r="B181" s="1308" t="s">
        <v>1593</v>
      </c>
      <c r="C181" s="1308"/>
      <c r="D181" s="1308"/>
      <c r="E181" s="1308"/>
      <c r="F181" s="1308"/>
      <c r="G181" s="1308"/>
      <c r="H181" s="1308"/>
      <c r="I181" s="1308"/>
      <c r="J181" s="1308"/>
      <c r="K181" s="1308"/>
      <c r="L181" s="1308"/>
      <c r="M181" s="1308"/>
      <c r="N181" s="200"/>
      <c r="O181" s="199"/>
      <c r="P181" s="24"/>
      <c r="Q181" s="24"/>
      <c r="R181" s="24"/>
      <c r="S181" s="24"/>
      <c r="T181" s="24"/>
      <c r="U181" s="24"/>
      <c r="V181" s="24"/>
      <c r="W181" s="24"/>
      <c r="X181" s="24"/>
      <c r="Y181" s="24"/>
      <c r="Z181" s="24"/>
      <c r="AA181" s="24"/>
      <c r="AB181" s="200"/>
      <c r="AC181" s="1"/>
      <c r="AD181" s="1"/>
      <c r="AE181" s="1"/>
      <c r="AF181" s="1"/>
      <c r="AG181" s="1"/>
      <c r="AH181" s="1"/>
      <c r="AI181" s="1"/>
      <c r="AJ181" s="1"/>
      <c r="AK181" s="1"/>
      <c r="AL181" s="1"/>
      <c r="AM181" s="1"/>
      <c r="AN181" s="1"/>
      <c r="AO181" s="1"/>
      <c r="AP181" s="1"/>
      <c r="AQ181" s="1"/>
      <c r="AR181" s="1"/>
      <c r="AS181" s="1"/>
      <c r="AT181" s="1"/>
      <c r="AU181" s="1"/>
      <c r="AV181" s="1"/>
      <c r="AW181" s="1"/>
      <c r="AX181" s="1"/>
      <c r="AY181" s="1"/>
    </row>
    <row r="182" spans="1:105" ht="19.05" customHeight="1">
      <c r="A182" s="199"/>
      <c r="B182" s="1308"/>
      <c r="C182" s="1308"/>
      <c r="D182" s="1308"/>
      <c r="E182" s="1308"/>
      <c r="F182" s="1308"/>
      <c r="G182" s="1308"/>
      <c r="H182" s="1308"/>
      <c r="I182" s="1308"/>
      <c r="J182" s="1308"/>
      <c r="K182" s="1308"/>
      <c r="L182" s="1308"/>
      <c r="M182" s="1308"/>
      <c r="N182" s="200"/>
      <c r="O182" s="199"/>
      <c r="P182" s="24"/>
      <c r="Q182" s="24"/>
      <c r="R182" s="24"/>
      <c r="S182" s="24"/>
      <c r="T182" s="24"/>
      <c r="U182" s="24"/>
      <c r="V182" s="24"/>
      <c r="W182" s="24"/>
      <c r="X182" s="24"/>
      <c r="Y182" s="24"/>
      <c r="Z182" s="24"/>
      <c r="AA182" s="24"/>
      <c r="AB182" s="200"/>
      <c r="AC182" s="1"/>
      <c r="AD182" s="1"/>
      <c r="AE182" s="1"/>
      <c r="AF182" s="1"/>
      <c r="AG182" s="1"/>
      <c r="AH182" s="1"/>
      <c r="AI182" s="1"/>
      <c r="AJ182" s="1"/>
      <c r="AK182" s="1"/>
      <c r="AL182" s="1"/>
      <c r="AM182" s="1"/>
      <c r="AN182" s="1"/>
      <c r="AO182" s="1"/>
      <c r="AP182" s="1"/>
      <c r="AQ182" s="1"/>
      <c r="AR182" s="1"/>
      <c r="AS182" s="1"/>
      <c r="AT182" s="1"/>
      <c r="AU182" s="1"/>
      <c r="AV182" s="1"/>
      <c r="AW182" s="1"/>
      <c r="AX182" s="1"/>
      <c r="AY182" s="1"/>
    </row>
    <row r="183" spans="1:105" ht="19.05" customHeight="1">
      <c r="A183" s="199"/>
      <c r="B183" s="1308"/>
      <c r="C183" s="1308"/>
      <c r="D183" s="1308"/>
      <c r="E183" s="1308"/>
      <c r="F183" s="1308"/>
      <c r="G183" s="1308"/>
      <c r="H183" s="1308"/>
      <c r="I183" s="1308"/>
      <c r="J183" s="1308"/>
      <c r="K183" s="1308"/>
      <c r="L183" s="1308"/>
      <c r="M183" s="1308"/>
      <c r="N183" s="200"/>
      <c r="O183" s="199"/>
      <c r="P183" s="24"/>
      <c r="Q183" s="24"/>
      <c r="R183" s="24"/>
      <c r="S183" s="24"/>
      <c r="T183" s="24"/>
      <c r="U183" s="24"/>
      <c r="V183" s="24"/>
      <c r="W183" s="24"/>
      <c r="X183" s="24"/>
      <c r="Y183" s="24"/>
      <c r="Z183" s="24"/>
      <c r="AA183" s="24"/>
      <c r="AB183" s="200"/>
      <c r="AC183" s="1"/>
      <c r="AD183" s="1"/>
      <c r="AE183" s="1"/>
      <c r="AF183" s="1"/>
      <c r="AG183" s="1"/>
      <c r="AH183" s="1"/>
      <c r="AI183" s="1"/>
      <c r="AJ183" s="1"/>
      <c r="AK183" s="1"/>
      <c r="AL183" s="1"/>
      <c r="AM183" s="1"/>
      <c r="AN183" s="1"/>
      <c r="AO183" s="1"/>
      <c r="AP183" s="1"/>
      <c r="AQ183" s="1"/>
      <c r="AR183" s="1"/>
      <c r="AS183" s="1"/>
      <c r="AT183" s="1"/>
      <c r="AU183" s="1"/>
      <c r="AV183" s="1"/>
      <c r="AW183" s="1"/>
      <c r="AX183" s="1"/>
      <c r="AY183" s="1"/>
    </row>
    <row r="184" spans="1:105" ht="19.05" customHeight="1">
      <c r="A184" s="199"/>
      <c r="B184" s="1308"/>
      <c r="C184" s="1308"/>
      <c r="D184" s="1308"/>
      <c r="E184" s="1308"/>
      <c r="F184" s="1308"/>
      <c r="G184" s="1308"/>
      <c r="H184" s="1308"/>
      <c r="I184" s="1308"/>
      <c r="J184" s="1308"/>
      <c r="K184" s="1308"/>
      <c r="L184" s="1308"/>
      <c r="M184" s="1308"/>
      <c r="N184" s="200"/>
      <c r="O184" s="199"/>
      <c r="P184" s="24"/>
      <c r="Q184" s="24"/>
      <c r="R184" s="24"/>
      <c r="S184" s="24"/>
      <c r="T184" s="24"/>
      <c r="U184" s="24"/>
      <c r="V184" s="24"/>
      <c r="W184" s="24"/>
      <c r="X184" s="24"/>
      <c r="Y184" s="24"/>
      <c r="Z184" s="24"/>
      <c r="AA184" s="24"/>
      <c r="AB184" s="200"/>
      <c r="AC184" s="1"/>
      <c r="AD184" s="1"/>
      <c r="AE184" s="1"/>
      <c r="AF184" s="1"/>
      <c r="AG184" s="1"/>
      <c r="AH184" s="1"/>
      <c r="AI184" s="1"/>
      <c r="AJ184" s="1"/>
      <c r="AK184" s="1"/>
      <c r="AL184" s="1"/>
      <c r="AM184" s="1"/>
      <c r="AN184" s="1"/>
      <c r="AO184" s="1"/>
      <c r="AP184" s="1"/>
      <c r="AQ184" s="1"/>
      <c r="AR184" s="1"/>
      <c r="AS184" s="1"/>
      <c r="AT184" s="1"/>
      <c r="AU184" s="1"/>
      <c r="AV184" s="1"/>
      <c r="AW184" s="1"/>
      <c r="AX184" s="1"/>
      <c r="AY184" s="1"/>
    </row>
    <row r="185" spans="1:105" ht="19.05" customHeight="1">
      <c r="A185" s="199"/>
      <c r="B185" s="1308"/>
      <c r="C185" s="1308"/>
      <c r="D185" s="1308"/>
      <c r="E185" s="1308"/>
      <c r="F185" s="1308"/>
      <c r="G185" s="1308"/>
      <c r="H185" s="1308"/>
      <c r="I185" s="1308"/>
      <c r="J185" s="1308"/>
      <c r="K185" s="1308"/>
      <c r="L185" s="1308"/>
      <c r="M185" s="1308"/>
      <c r="N185" s="200"/>
      <c r="O185" s="199"/>
      <c r="P185" s="24"/>
      <c r="Q185" s="24"/>
      <c r="R185" s="24"/>
      <c r="S185" s="24"/>
      <c r="T185" s="24"/>
      <c r="U185" s="24"/>
      <c r="V185" s="24"/>
      <c r="W185" s="24"/>
      <c r="X185" s="24"/>
      <c r="Y185" s="24"/>
      <c r="Z185" s="24"/>
      <c r="AA185" s="24"/>
      <c r="AB185" s="200"/>
      <c r="AC185" s="1"/>
      <c r="AD185" s="1"/>
      <c r="AE185" s="1"/>
      <c r="AF185" s="1"/>
      <c r="AG185" s="1"/>
      <c r="AH185" s="1"/>
      <c r="AI185" s="1"/>
      <c r="AJ185" s="1"/>
      <c r="AK185" s="1"/>
      <c r="AL185" s="1"/>
      <c r="AM185" s="1"/>
      <c r="AN185" s="1"/>
      <c r="AO185" s="1"/>
      <c r="AP185" s="1"/>
      <c r="AQ185" s="1"/>
      <c r="AR185" s="1"/>
      <c r="AS185" s="1"/>
      <c r="AT185" s="1"/>
      <c r="AU185" s="1"/>
      <c r="AV185" s="1"/>
      <c r="AW185" s="1"/>
      <c r="AX185" s="1"/>
      <c r="AY185" s="1"/>
    </row>
    <row r="186" spans="1:105" ht="4.95" customHeight="1">
      <c r="A186" s="199"/>
      <c r="B186" s="24"/>
      <c r="C186" s="24"/>
      <c r="D186" s="24"/>
      <c r="E186" s="24"/>
      <c r="F186" s="24"/>
      <c r="G186" s="24"/>
      <c r="H186" s="24"/>
      <c r="I186" s="24"/>
      <c r="J186" s="24"/>
      <c r="K186" s="24"/>
      <c r="L186" s="24"/>
      <c r="M186" s="24"/>
      <c r="N186" s="200"/>
      <c r="O186" s="199"/>
      <c r="P186" s="24"/>
      <c r="Q186" s="24"/>
      <c r="R186" s="24"/>
      <c r="S186" s="24"/>
      <c r="T186" s="24"/>
      <c r="U186" s="24"/>
      <c r="V186" s="24"/>
      <c r="W186" s="24"/>
      <c r="X186" s="24"/>
      <c r="Y186" s="24"/>
      <c r="Z186" s="24"/>
      <c r="AA186" s="24"/>
      <c r="AB186" s="200"/>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DA186" s="37"/>
    </row>
    <row r="187" spans="1:105" ht="19.95" customHeight="1">
      <c r="A187" s="199"/>
      <c r="B187" s="1277" t="s">
        <v>1591</v>
      </c>
      <c r="C187" s="1277"/>
      <c r="D187" s="1277"/>
      <c r="E187" s="1277"/>
      <c r="F187" s="1277"/>
      <c r="G187" s="1277"/>
      <c r="H187" s="1277"/>
      <c r="I187" s="1277"/>
      <c r="J187" s="1277"/>
      <c r="K187" s="1277"/>
      <c r="L187" s="1277"/>
      <c r="M187" s="1277"/>
      <c r="N187" s="200"/>
      <c r="O187" s="199"/>
      <c r="P187" s="24"/>
      <c r="Q187" s="24"/>
      <c r="R187" s="24"/>
      <c r="S187" s="24"/>
      <c r="T187" s="24"/>
      <c r="U187" s="24"/>
      <c r="V187" s="24"/>
      <c r="W187" s="24"/>
      <c r="X187" s="24"/>
      <c r="Y187" s="24"/>
      <c r="Z187" s="24"/>
      <c r="AA187" s="24"/>
      <c r="AB187" s="200"/>
      <c r="AC187" s="1"/>
      <c r="AD187" s="1"/>
      <c r="AE187" s="1"/>
      <c r="AF187" s="1"/>
      <c r="AG187" s="1"/>
      <c r="AH187" s="1"/>
      <c r="AI187" s="1"/>
      <c r="AJ187" s="1"/>
      <c r="AK187" s="1"/>
      <c r="AL187" s="1"/>
      <c r="AM187" s="1"/>
      <c r="AN187" s="1"/>
      <c r="AO187" s="1"/>
      <c r="AP187" s="1"/>
      <c r="AQ187" s="1"/>
      <c r="AR187" s="1"/>
      <c r="AS187" s="1"/>
      <c r="AT187" s="1"/>
      <c r="AU187" s="1"/>
      <c r="AV187" s="1"/>
      <c r="AW187" s="1"/>
      <c r="AX187" s="1"/>
      <c r="AY187" s="1"/>
    </row>
    <row r="188" spans="1:105" ht="19.95" customHeight="1">
      <c r="A188" s="199"/>
      <c r="B188" s="1277"/>
      <c r="C188" s="1277"/>
      <c r="D188" s="1277"/>
      <c r="E188" s="1277"/>
      <c r="F188" s="1277"/>
      <c r="G188" s="1277"/>
      <c r="H188" s="1277"/>
      <c r="I188" s="1277"/>
      <c r="J188" s="1277"/>
      <c r="K188" s="1277"/>
      <c r="L188" s="1277"/>
      <c r="M188" s="1277"/>
      <c r="N188" s="200"/>
      <c r="O188" s="199"/>
      <c r="P188" s="24"/>
      <c r="Q188" s="24"/>
      <c r="R188" s="24"/>
      <c r="S188" s="24"/>
      <c r="T188" s="24"/>
      <c r="U188" s="24"/>
      <c r="V188" s="24"/>
      <c r="W188" s="24"/>
      <c r="X188" s="24"/>
      <c r="Y188" s="24"/>
      <c r="Z188" s="24"/>
      <c r="AA188" s="24"/>
      <c r="AB188" s="200"/>
      <c r="AC188" s="1"/>
      <c r="AD188" s="1"/>
      <c r="AE188" s="1"/>
      <c r="AF188" s="1"/>
      <c r="AG188" s="1"/>
      <c r="AH188" s="1"/>
      <c r="AI188" s="1"/>
      <c r="AJ188" s="1"/>
      <c r="AK188" s="1"/>
      <c r="AL188" s="1"/>
      <c r="AM188" s="1"/>
      <c r="AN188" s="1"/>
      <c r="AO188" s="1"/>
      <c r="AP188" s="1"/>
      <c r="AQ188" s="1"/>
      <c r="AR188" s="1"/>
      <c r="AS188" s="1"/>
      <c r="AT188" s="1"/>
      <c r="AU188" s="1"/>
      <c r="AV188" s="1"/>
      <c r="AW188" s="1"/>
      <c r="AX188" s="1"/>
      <c r="AY188" s="1"/>
    </row>
    <row r="189" spans="1:105" ht="19.95" customHeight="1">
      <c r="A189" s="199"/>
      <c r="B189" s="1277"/>
      <c r="C189" s="1277"/>
      <c r="D189" s="1277"/>
      <c r="E189" s="1277"/>
      <c r="F189" s="1277"/>
      <c r="G189" s="1277"/>
      <c r="H189" s="1277"/>
      <c r="I189" s="1277"/>
      <c r="J189" s="1277"/>
      <c r="K189" s="1277"/>
      <c r="L189" s="1277"/>
      <c r="M189" s="1277"/>
      <c r="N189" s="200"/>
      <c r="O189" s="199"/>
      <c r="P189" s="24"/>
      <c r="Q189" s="24"/>
      <c r="R189" s="24"/>
      <c r="S189" s="24"/>
      <c r="T189" s="24"/>
      <c r="U189" s="24"/>
      <c r="V189" s="24"/>
      <c r="W189" s="24"/>
      <c r="X189" s="24"/>
      <c r="Y189" s="24"/>
      <c r="Z189" s="24"/>
      <c r="AA189" s="24"/>
      <c r="AB189" s="200"/>
      <c r="AC189" s="1"/>
      <c r="AD189" s="1"/>
      <c r="AE189" s="1"/>
      <c r="AF189" s="1"/>
      <c r="AG189" s="1"/>
      <c r="AH189" s="1"/>
      <c r="AI189" s="1"/>
      <c r="AJ189" s="1"/>
      <c r="AK189" s="1"/>
      <c r="AL189" s="1"/>
      <c r="AM189" s="1"/>
      <c r="AN189" s="1"/>
      <c r="AO189" s="1"/>
      <c r="AP189" s="1"/>
      <c r="AQ189" s="1"/>
      <c r="AR189" s="1"/>
      <c r="AS189" s="1"/>
      <c r="AT189" s="1"/>
      <c r="AU189" s="1"/>
      <c r="AV189" s="1"/>
      <c r="AW189" s="1"/>
      <c r="AX189" s="1"/>
      <c r="AY189" s="1"/>
    </row>
    <row r="190" spans="1:105" ht="19.95" customHeight="1">
      <c r="A190" s="199"/>
      <c r="B190" s="1277"/>
      <c r="C190" s="1277"/>
      <c r="D190" s="1277"/>
      <c r="E190" s="1277"/>
      <c r="F190" s="1277"/>
      <c r="G190" s="1277"/>
      <c r="H190" s="1277"/>
      <c r="I190" s="1277"/>
      <c r="J190" s="1277"/>
      <c r="K190" s="1277"/>
      <c r="L190" s="1277"/>
      <c r="M190" s="1277"/>
      <c r="N190" s="200"/>
      <c r="O190" s="199"/>
      <c r="P190" s="24"/>
      <c r="Q190" s="24"/>
      <c r="R190" s="24"/>
      <c r="S190" s="24"/>
      <c r="T190" s="24"/>
      <c r="U190" s="24"/>
      <c r="V190" s="24"/>
      <c r="W190" s="24"/>
      <c r="X190" s="24"/>
      <c r="Y190" s="24"/>
      <c r="Z190" s="24"/>
      <c r="AA190" s="24"/>
      <c r="AB190" s="200"/>
      <c r="AC190" s="1"/>
      <c r="AD190" s="1"/>
      <c r="AE190" s="1"/>
      <c r="AF190" s="1"/>
      <c r="AG190" s="1"/>
      <c r="AH190" s="1"/>
      <c r="AI190" s="1"/>
      <c r="AJ190" s="1"/>
      <c r="AK190" s="1"/>
      <c r="AL190" s="1"/>
      <c r="AM190" s="1"/>
      <c r="AN190" s="1"/>
      <c r="AO190" s="1"/>
      <c r="AP190" s="1"/>
      <c r="AQ190" s="1"/>
      <c r="AR190" s="1"/>
      <c r="AS190" s="1"/>
      <c r="AT190" s="1"/>
      <c r="AU190" s="1"/>
      <c r="AV190" s="1"/>
      <c r="AW190" s="1"/>
      <c r="AX190" s="1"/>
      <c r="AY190" s="1"/>
    </row>
    <row r="191" spans="1:105" ht="19.95" customHeight="1">
      <c r="A191" s="199"/>
      <c r="B191" s="1277"/>
      <c r="C191" s="1277"/>
      <c r="D191" s="1277"/>
      <c r="E191" s="1277"/>
      <c r="F191" s="1277"/>
      <c r="G191" s="1277"/>
      <c r="H191" s="1277"/>
      <c r="I191" s="1277"/>
      <c r="J191" s="1277"/>
      <c r="K191" s="1277"/>
      <c r="L191" s="1277"/>
      <c r="M191" s="1277"/>
      <c r="N191" s="200"/>
      <c r="O191" s="199"/>
      <c r="P191" s="24"/>
      <c r="Q191" s="24"/>
      <c r="R191" s="24"/>
      <c r="S191" s="24"/>
      <c r="T191" s="24"/>
      <c r="U191" s="24"/>
      <c r="V191" s="24"/>
      <c r="W191" s="24"/>
      <c r="X191" s="24"/>
      <c r="Y191" s="24"/>
      <c r="Z191" s="24"/>
      <c r="AA191" s="24"/>
      <c r="AB191" s="200"/>
      <c r="AC191" s="1"/>
      <c r="AD191" s="1"/>
      <c r="AE191" s="1"/>
      <c r="AF191" s="1"/>
      <c r="AG191" s="1"/>
      <c r="AH191" s="1"/>
      <c r="AI191" s="1"/>
      <c r="AJ191" s="1"/>
      <c r="AK191" s="1"/>
      <c r="AL191" s="1"/>
      <c r="AM191" s="1"/>
      <c r="AN191" s="1"/>
      <c r="AO191" s="1"/>
      <c r="AP191" s="1"/>
      <c r="AQ191" s="1"/>
      <c r="AR191" s="1"/>
      <c r="AS191" s="1"/>
      <c r="AT191" s="1"/>
      <c r="AU191" s="1"/>
      <c r="AV191" s="1"/>
      <c r="AW191" s="1"/>
      <c r="AX191" s="1"/>
      <c r="AY191" s="1"/>
    </row>
    <row r="192" spans="1:105" ht="4.95" customHeight="1">
      <c r="A192" s="199"/>
      <c r="B192" s="390"/>
      <c r="C192" s="390"/>
      <c r="D192" s="390"/>
      <c r="E192" s="390"/>
      <c r="F192" s="390"/>
      <c r="G192" s="390"/>
      <c r="H192" s="390"/>
      <c r="I192" s="390"/>
      <c r="J192" s="390"/>
      <c r="K192" s="390"/>
      <c r="L192" s="390"/>
      <c r="M192" s="390"/>
      <c r="N192" s="200"/>
      <c r="O192" s="199"/>
      <c r="P192" s="24"/>
      <c r="Q192" s="24"/>
      <c r="R192" s="24"/>
      <c r="S192" s="24"/>
      <c r="T192" s="24"/>
      <c r="U192" s="24"/>
      <c r="V192" s="24"/>
      <c r="W192" s="24"/>
      <c r="X192" s="24"/>
      <c r="Y192" s="24"/>
      <c r="Z192" s="24"/>
      <c r="AA192" s="24"/>
      <c r="AB192" s="200"/>
      <c r="AC192" s="1"/>
      <c r="AD192" s="1"/>
      <c r="AE192" s="1"/>
      <c r="AF192" s="1"/>
      <c r="AG192" s="1"/>
      <c r="AH192" s="1"/>
      <c r="AI192" s="1"/>
      <c r="AJ192" s="1"/>
      <c r="AK192" s="1"/>
      <c r="AL192" s="1"/>
      <c r="AM192" s="1"/>
      <c r="AN192" s="1"/>
      <c r="AO192" s="1"/>
      <c r="AP192" s="1"/>
      <c r="AQ192" s="1"/>
      <c r="AR192" s="1"/>
      <c r="AS192" s="1"/>
      <c r="AT192" s="1"/>
      <c r="AU192" s="1"/>
      <c r="AV192" s="1"/>
      <c r="AW192" s="1"/>
      <c r="AX192" s="1"/>
      <c r="AY192" s="1"/>
    </row>
    <row r="193" spans="1:68" ht="19.95" customHeight="1">
      <c r="A193" s="199"/>
      <c r="B193" s="591"/>
      <c r="C193" s="391"/>
      <c r="D193" s="1327" t="s">
        <v>1789</v>
      </c>
      <c r="E193" s="1328"/>
      <c r="F193" s="1328"/>
      <c r="G193" s="1328"/>
      <c r="H193" s="1302" t="s">
        <v>1788</v>
      </c>
      <c r="I193" s="1302"/>
      <c r="J193" s="1302"/>
      <c r="K193" s="1303"/>
      <c r="L193" s="391"/>
      <c r="M193" s="593"/>
      <c r="N193" s="200"/>
      <c r="O193" s="199"/>
      <c r="P193" s="24"/>
      <c r="Q193" s="24"/>
      <c r="R193" s="24"/>
      <c r="S193" s="24"/>
      <c r="T193" s="24"/>
      <c r="U193" s="24"/>
      <c r="V193" s="24"/>
      <c r="W193" s="24"/>
      <c r="X193" s="24"/>
      <c r="Y193" s="24"/>
      <c r="Z193" s="24"/>
      <c r="AA193" s="24"/>
      <c r="AB193" s="200"/>
      <c r="AC193" s="1"/>
      <c r="AD193" s="1"/>
      <c r="AE193" s="1"/>
      <c r="AF193" s="1"/>
      <c r="AG193" s="1"/>
      <c r="AH193" s="1"/>
      <c r="AI193" s="1"/>
      <c r="AJ193" s="1"/>
      <c r="AK193" s="1"/>
      <c r="AL193" s="1"/>
      <c r="AM193" s="1"/>
      <c r="AN193" s="1"/>
      <c r="AO193" s="1"/>
      <c r="AP193" s="1"/>
      <c r="AQ193" s="1"/>
      <c r="AR193" s="1"/>
      <c r="AS193" s="1"/>
      <c r="AT193" s="1"/>
      <c r="AU193" s="1"/>
      <c r="AV193" s="1"/>
      <c r="AW193" s="1"/>
      <c r="AX193" s="1"/>
      <c r="AY193" s="1"/>
    </row>
    <row r="194" spans="1:68" ht="19.95" customHeight="1">
      <c r="A194" s="199"/>
      <c r="B194" s="591"/>
      <c r="C194" s="391"/>
      <c r="D194" s="1327"/>
      <c r="E194" s="1328"/>
      <c r="F194" s="1328"/>
      <c r="G194" s="1328"/>
      <c r="H194" s="1302"/>
      <c r="I194" s="1302"/>
      <c r="J194" s="1302"/>
      <c r="K194" s="1303"/>
      <c r="L194" s="391"/>
      <c r="M194" s="593"/>
      <c r="N194" s="200"/>
      <c r="O194" s="199"/>
      <c r="P194" s="24"/>
      <c r="Q194" s="24"/>
      <c r="R194" s="24"/>
      <c r="S194" s="24"/>
      <c r="T194" s="24"/>
      <c r="U194" s="24"/>
      <c r="V194" s="24"/>
      <c r="W194" s="24"/>
      <c r="X194" s="24"/>
      <c r="Y194" s="24"/>
      <c r="Z194" s="24"/>
      <c r="AA194" s="24"/>
      <c r="AB194" s="200"/>
      <c r="AC194" s="1"/>
      <c r="AD194" s="1"/>
      <c r="AE194" s="1"/>
      <c r="AF194" s="1"/>
      <c r="AG194" s="1"/>
      <c r="AH194" s="1"/>
      <c r="AI194" s="1"/>
      <c r="AJ194" s="1"/>
      <c r="AK194" s="1"/>
      <c r="AL194" s="1"/>
      <c r="AM194" s="1"/>
      <c r="AN194" s="1"/>
      <c r="AO194" s="1"/>
      <c r="AP194" s="1"/>
      <c r="AQ194" s="1"/>
      <c r="AR194" s="1"/>
      <c r="AS194" s="1"/>
      <c r="AT194" s="1"/>
      <c r="AU194" s="1"/>
      <c r="AV194" s="1"/>
      <c r="AW194" s="1"/>
      <c r="AX194" s="1"/>
      <c r="AY194" s="1"/>
    </row>
    <row r="195" spans="1:68" ht="19.95" customHeight="1">
      <c r="A195" s="199"/>
      <c r="B195" s="591"/>
      <c r="C195" s="391"/>
      <c r="D195" s="1327"/>
      <c r="E195" s="1328"/>
      <c r="F195" s="1328"/>
      <c r="G195" s="1328"/>
      <c r="H195" s="1302"/>
      <c r="I195" s="1302"/>
      <c r="J195" s="1302"/>
      <c r="K195" s="1303"/>
      <c r="L195" s="391"/>
      <c r="M195" s="593"/>
      <c r="N195" s="200"/>
      <c r="O195" s="199"/>
      <c r="P195" s="24"/>
      <c r="Q195" s="24"/>
      <c r="R195" s="24"/>
      <c r="S195" s="24"/>
      <c r="T195" s="24"/>
      <c r="U195" s="24"/>
      <c r="V195" s="24"/>
      <c r="W195" s="24"/>
      <c r="X195" s="24"/>
      <c r="Y195" s="24"/>
      <c r="Z195" s="24"/>
      <c r="AA195" s="24"/>
      <c r="AB195" s="200"/>
      <c r="AC195" s="1"/>
      <c r="AD195" s="1"/>
      <c r="AE195" s="1"/>
      <c r="AF195" s="1"/>
      <c r="AG195" s="1"/>
      <c r="AH195" s="1"/>
      <c r="AI195" s="1"/>
      <c r="AJ195" s="1"/>
      <c r="AK195" s="1"/>
      <c r="AL195" s="1"/>
      <c r="AM195" s="1"/>
      <c r="AN195" s="1"/>
      <c r="AO195" s="1"/>
      <c r="AP195" s="1"/>
      <c r="AQ195" s="1"/>
      <c r="AR195" s="1"/>
      <c r="AS195" s="1"/>
      <c r="AT195" s="1"/>
      <c r="AU195" s="1"/>
      <c r="AV195" s="1"/>
      <c r="AW195" s="1"/>
      <c r="AX195" s="1"/>
      <c r="AY195" s="1"/>
    </row>
    <row r="196" spans="1:68" ht="19.95" customHeight="1">
      <c r="A196" s="199"/>
      <c r="B196" s="591"/>
      <c r="C196" s="391"/>
      <c r="D196" s="1327"/>
      <c r="E196" s="1328"/>
      <c r="F196" s="1328"/>
      <c r="G196" s="1328"/>
      <c r="H196" s="1302"/>
      <c r="I196" s="1302"/>
      <c r="J196" s="1302"/>
      <c r="K196" s="1303"/>
      <c r="L196" s="391"/>
      <c r="M196" s="593"/>
      <c r="N196" s="200"/>
      <c r="O196" s="199"/>
      <c r="P196" s="24"/>
      <c r="Q196" s="24"/>
      <c r="R196" s="24"/>
      <c r="S196" s="24"/>
      <c r="T196" s="24"/>
      <c r="U196" s="24"/>
      <c r="V196" s="24"/>
      <c r="W196" s="24"/>
      <c r="X196" s="24"/>
      <c r="Y196" s="24"/>
      <c r="Z196" s="24"/>
      <c r="AA196" s="24"/>
      <c r="AB196" s="200"/>
      <c r="AC196" s="1"/>
      <c r="AD196" s="1"/>
      <c r="AE196" s="1"/>
      <c r="AF196" s="1"/>
      <c r="AG196" s="1"/>
      <c r="AH196" s="1"/>
      <c r="AI196" s="1"/>
      <c r="AJ196" s="1"/>
      <c r="AK196" s="1"/>
      <c r="AL196" s="1"/>
      <c r="AM196" s="1"/>
      <c r="AN196" s="1"/>
      <c r="AO196" s="1"/>
      <c r="AP196" s="1"/>
      <c r="AQ196" s="1"/>
      <c r="AR196" s="1"/>
      <c r="AS196" s="1"/>
      <c r="AT196" s="1"/>
      <c r="AU196" s="1"/>
      <c r="AV196" s="1"/>
      <c r="AW196" s="1"/>
      <c r="AX196" s="1"/>
      <c r="AY196" s="1"/>
    </row>
    <row r="197" spans="1:68" ht="19.95" customHeight="1" thickBot="1">
      <c r="A197" s="199"/>
      <c r="B197" s="592"/>
      <c r="C197" s="589"/>
      <c r="D197" s="1329"/>
      <c r="E197" s="1330"/>
      <c r="F197" s="1330"/>
      <c r="G197" s="1330"/>
      <c r="H197" s="1304"/>
      <c r="I197" s="1304"/>
      <c r="J197" s="1304"/>
      <c r="K197" s="1305"/>
      <c r="L197" s="590"/>
      <c r="M197" s="594"/>
      <c r="N197" s="200"/>
      <c r="O197" s="199"/>
      <c r="P197" s="24"/>
      <c r="Q197" s="24"/>
      <c r="R197" s="24"/>
      <c r="S197" s="24"/>
      <c r="T197" s="24"/>
      <c r="U197" s="24"/>
      <c r="V197" s="24"/>
      <c r="W197" s="24"/>
      <c r="X197" s="24"/>
      <c r="Y197" s="24"/>
      <c r="Z197" s="24"/>
      <c r="AA197" s="24"/>
      <c r="AB197" s="200"/>
      <c r="AC197" s="1"/>
      <c r="AD197" s="1"/>
      <c r="AE197" s="1"/>
      <c r="AF197" s="1"/>
      <c r="AG197" s="1"/>
      <c r="AH197" s="1"/>
      <c r="AI197" s="1"/>
      <c r="AJ197" s="1"/>
      <c r="AK197" s="1"/>
      <c r="AL197" s="1"/>
      <c r="AM197" s="1"/>
      <c r="AN197" s="1"/>
      <c r="AO197" s="1"/>
      <c r="AP197" s="1"/>
      <c r="AQ197" s="1"/>
      <c r="AR197" s="1"/>
      <c r="AS197" s="1"/>
      <c r="AT197" s="1"/>
      <c r="AU197" s="1"/>
      <c r="AV197" s="1"/>
      <c r="AW197" s="1"/>
      <c r="AX197" s="1"/>
      <c r="AY197" s="1"/>
    </row>
    <row r="198" spans="1:68" ht="4.8" customHeight="1">
      <c r="A198" s="199"/>
      <c r="B198" s="391"/>
      <c r="C198" s="391"/>
      <c r="D198" s="395"/>
      <c r="E198" s="395"/>
      <c r="F198" s="395"/>
      <c r="G198" s="395"/>
      <c r="H198" s="458"/>
      <c r="I198" s="458"/>
      <c r="J198" s="458"/>
      <c r="K198" s="458"/>
      <c r="L198" s="391"/>
      <c r="M198" s="391"/>
      <c r="N198" s="200"/>
      <c r="O198" s="199"/>
      <c r="P198" s="24"/>
      <c r="Q198" s="24"/>
      <c r="R198" s="24"/>
      <c r="S198" s="24"/>
      <c r="T198" s="24"/>
      <c r="U198" s="24"/>
      <c r="V198" s="24"/>
      <c r="W198" s="24"/>
      <c r="X198" s="24"/>
      <c r="Y198" s="24"/>
      <c r="Z198" s="24"/>
      <c r="AA198" s="24"/>
      <c r="AB198" s="200"/>
      <c r="AC198" s="1"/>
      <c r="AD198" s="1"/>
      <c r="AE198" s="1"/>
      <c r="AF198" s="1"/>
      <c r="AG198" s="1"/>
      <c r="AH198" s="1"/>
      <c r="AI198" s="1"/>
      <c r="AJ198" s="1"/>
      <c r="AK198" s="1"/>
      <c r="AL198" s="1"/>
      <c r="AM198" s="1"/>
      <c r="AN198" s="1"/>
      <c r="AO198" s="1"/>
      <c r="AP198" s="1"/>
      <c r="AQ198" s="1"/>
      <c r="AR198" s="1"/>
      <c r="AS198" s="1"/>
      <c r="AT198" s="1"/>
      <c r="AU198" s="1"/>
      <c r="AV198" s="1"/>
      <c r="AW198" s="1"/>
      <c r="AX198" s="1"/>
      <c r="AY198" s="1"/>
    </row>
    <row r="199" spans="1:68" ht="19.05" customHeight="1">
      <c r="A199" s="199"/>
      <c r="B199" s="1277" t="s">
        <v>1592</v>
      </c>
      <c r="C199" s="1277"/>
      <c r="D199" s="1277"/>
      <c r="E199" s="1277"/>
      <c r="F199" s="1277"/>
      <c r="G199" s="1277"/>
      <c r="H199" s="1277"/>
      <c r="I199" s="1277"/>
      <c r="J199" s="1277"/>
      <c r="K199" s="1277"/>
      <c r="L199" s="1277"/>
      <c r="M199" s="1277"/>
      <c r="N199" s="200"/>
      <c r="O199" s="199"/>
      <c r="P199" s="24"/>
      <c r="Q199" s="24"/>
      <c r="R199" s="24"/>
      <c r="S199" s="24"/>
      <c r="T199" s="24"/>
      <c r="U199" s="24"/>
      <c r="V199" s="24"/>
      <c r="W199" s="24"/>
      <c r="X199" s="24"/>
      <c r="Y199" s="24"/>
      <c r="Z199" s="24"/>
      <c r="AA199" s="24"/>
      <c r="AB199" s="200"/>
      <c r="AC199" s="1"/>
      <c r="AD199" s="1"/>
      <c r="AE199" s="1"/>
      <c r="AF199" s="1"/>
      <c r="AG199" s="1"/>
      <c r="AH199" s="1"/>
      <c r="AI199" s="1"/>
      <c r="AJ199" s="1"/>
      <c r="AK199" s="1"/>
      <c r="AL199" s="1"/>
      <c r="AM199" s="1"/>
      <c r="AN199" s="1"/>
      <c r="AO199" s="1"/>
      <c r="AP199" s="1"/>
      <c r="AQ199" s="1"/>
      <c r="AR199" s="1"/>
      <c r="AS199" s="1"/>
      <c r="AT199" s="1"/>
      <c r="AU199" s="1"/>
      <c r="AV199" s="1"/>
      <c r="AW199" s="1"/>
      <c r="AX199" s="1"/>
      <c r="AY199" s="1"/>
    </row>
    <row r="200" spans="1:68" ht="19.05" customHeight="1">
      <c r="A200" s="199"/>
      <c r="B200" s="1277"/>
      <c r="C200" s="1277"/>
      <c r="D200" s="1277"/>
      <c r="E200" s="1277"/>
      <c r="F200" s="1277"/>
      <c r="G200" s="1277"/>
      <c r="H200" s="1277"/>
      <c r="I200" s="1277"/>
      <c r="J200" s="1277"/>
      <c r="K200" s="1277"/>
      <c r="L200" s="1277"/>
      <c r="M200" s="1277"/>
      <c r="N200" s="200"/>
      <c r="O200" s="199"/>
      <c r="P200" s="24"/>
      <c r="Q200" s="24"/>
      <c r="R200" s="24"/>
      <c r="S200" s="24"/>
      <c r="T200" s="24"/>
      <c r="U200" s="24"/>
      <c r="V200" s="24"/>
      <c r="W200" s="24"/>
      <c r="X200" s="24"/>
      <c r="Y200" s="24"/>
      <c r="Z200" s="24"/>
      <c r="AA200" s="24"/>
      <c r="AB200" s="200"/>
      <c r="AC200" s="1"/>
      <c r="AD200" s="1"/>
      <c r="AE200" s="1"/>
      <c r="AF200" s="1"/>
      <c r="AG200" s="1"/>
      <c r="AH200" s="1"/>
      <c r="AI200" s="1"/>
      <c r="AJ200" s="1"/>
      <c r="AK200" s="1"/>
      <c r="AL200" s="1"/>
      <c r="AM200" s="1"/>
      <c r="AN200" s="1"/>
      <c r="AO200" s="1"/>
      <c r="AP200" s="1"/>
      <c r="AQ200" s="1"/>
      <c r="AR200" s="1"/>
      <c r="AS200" s="1"/>
      <c r="AT200" s="1"/>
      <c r="AU200" s="1"/>
      <c r="AV200" s="1"/>
      <c r="AW200" s="1"/>
      <c r="AX200" s="1"/>
      <c r="AY200" s="1"/>
    </row>
    <row r="201" spans="1:68" ht="19.05" customHeight="1">
      <c r="A201" s="199"/>
      <c r="B201" s="1277"/>
      <c r="C201" s="1277"/>
      <c r="D201" s="1277"/>
      <c r="E201" s="1277"/>
      <c r="F201" s="1277"/>
      <c r="G201" s="1277"/>
      <c r="H201" s="1277"/>
      <c r="I201" s="1277"/>
      <c r="J201" s="1277"/>
      <c r="K201" s="1277"/>
      <c r="L201" s="1277"/>
      <c r="M201" s="1277"/>
      <c r="N201" s="200"/>
      <c r="O201" s="199"/>
      <c r="P201" s="24"/>
      <c r="Q201" s="24"/>
      <c r="R201" s="24"/>
      <c r="S201" s="24"/>
      <c r="T201" s="24"/>
      <c r="U201" s="24"/>
      <c r="V201" s="24"/>
      <c r="W201" s="24"/>
      <c r="X201" s="24"/>
      <c r="Y201" s="24"/>
      <c r="Z201" s="24"/>
      <c r="AA201" s="24"/>
      <c r="AB201" s="200"/>
      <c r="AC201" s="1"/>
      <c r="AD201" s="1"/>
      <c r="AE201" s="1"/>
      <c r="AF201" s="1"/>
      <c r="AG201" s="1"/>
      <c r="AH201" s="1"/>
      <c r="AI201" s="1"/>
      <c r="AJ201" s="1"/>
      <c r="AK201" s="1"/>
      <c r="AL201" s="1"/>
      <c r="AM201" s="1"/>
      <c r="AN201" s="1"/>
      <c r="AO201" s="1"/>
      <c r="AP201" s="1"/>
      <c r="AQ201" s="1"/>
      <c r="AR201" s="1"/>
      <c r="AS201" s="1"/>
      <c r="AT201" s="1"/>
      <c r="AU201" s="1"/>
      <c r="AV201" s="1"/>
      <c r="AW201" s="1"/>
      <c r="AX201" s="1"/>
      <c r="AY201" s="1"/>
    </row>
    <row r="202" spans="1:68" ht="4.95" customHeight="1">
      <c r="A202" s="201"/>
      <c r="B202" s="202"/>
      <c r="C202" s="202"/>
      <c r="D202" s="202"/>
      <c r="E202" s="202"/>
      <c r="F202" s="202"/>
      <c r="G202" s="202"/>
      <c r="H202" s="202"/>
      <c r="I202" s="202"/>
      <c r="J202" s="202"/>
      <c r="K202" s="202"/>
      <c r="L202" s="202"/>
      <c r="M202" s="202"/>
      <c r="N202" s="200"/>
      <c r="O202" s="199"/>
      <c r="P202" s="202"/>
      <c r="Q202" s="202"/>
      <c r="R202" s="202"/>
      <c r="S202" s="202"/>
      <c r="T202" s="202"/>
      <c r="U202" s="202"/>
      <c r="V202" s="202"/>
      <c r="W202" s="202"/>
      <c r="X202" s="202"/>
      <c r="Y202" s="202"/>
      <c r="Z202" s="202"/>
      <c r="AA202" s="202"/>
      <c r="AB202" s="203"/>
      <c r="AC202" s="1"/>
      <c r="AD202" s="1"/>
      <c r="AE202" s="1"/>
      <c r="AF202" s="1"/>
      <c r="AG202" s="1"/>
      <c r="AH202" s="1"/>
      <c r="AI202" s="1"/>
      <c r="AJ202" s="1"/>
      <c r="AK202" s="1"/>
      <c r="AL202" s="1"/>
      <c r="AM202" s="1"/>
      <c r="AN202" s="1"/>
      <c r="AO202" s="1"/>
      <c r="AP202" s="1"/>
      <c r="AQ202" s="1"/>
      <c r="AR202" s="1"/>
      <c r="AS202" s="1"/>
      <c r="AT202" s="1"/>
      <c r="AU202" s="1"/>
      <c r="AV202" s="1"/>
      <c r="AW202" s="1"/>
      <c r="AX202" s="1"/>
      <c r="AY202" s="1"/>
    </row>
    <row r="203" spans="1:68" ht="30" customHeight="1">
      <c r="A203" s="210" t="s">
        <v>1148</v>
      </c>
      <c r="B203" s="1307" t="s">
        <v>1270</v>
      </c>
      <c r="C203" s="1307"/>
      <c r="D203" s="1307"/>
      <c r="E203" s="1307"/>
      <c r="F203" s="1307"/>
      <c r="G203" s="1307"/>
      <c r="H203" s="1307"/>
      <c r="I203" s="1307"/>
      <c r="J203" s="1307"/>
      <c r="K203" s="1307"/>
      <c r="L203" s="1307"/>
      <c r="M203" s="1307"/>
      <c r="N203" s="211" t="s">
        <v>1149</v>
      </c>
      <c r="O203" s="210"/>
      <c r="P203" s="198"/>
      <c r="Q203" s="198"/>
      <c r="R203" s="198"/>
      <c r="S203" s="198"/>
      <c r="T203" s="198"/>
      <c r="U203" s="198"/>
      <c r="V203" s="198"/>
      <c r="W203" s="198"/>
      <c r="X203" s="198"/>
      <c r="Y203" s="198"/>
      <c r="Z203" s="198"/>
      <c r="AA203" s="198"/>
      <c r="AB203" s="211" t="s">
        <v>1149</v>
      </c>
      <c r="AC203" s="577"/>
      <c r="AD203" s="577"/>
      <c r="AE203" s="577"/>
      <c r="AF203" s="577"/>
      <c r="AG203" s="577"/>
      <c r="AH203" s="577"/>
      <c r="AI203" s="577"/>
      <c r="AJ203" s="577"/>
      <c r="AK203" s="577"/>
      <c r="AL203" s="577"/>
      <c r="AM203" s="577"/>
      <c r="AN203" s="577"/>
      <c r="AO203" s="577"/>
      <c r="AP203" s="577"/>
      <c r="AQ203" s="577"/>
      <c r="AR203" s="577"/>
      <c r="AS203" s="577"/>
      <c r="AT203" s="577"/>
      <c r="AU203" s="577"/>
      <c r="AV203" s="577"/>
      <c r="AW203" s="577"/>
      <c r="AX203" s="577"/>
      <c r="AY203" s="577"/>
      <c r="BM203" s="2" t="str">
        <f>IF($H$1122="",CONCATENATE("a ",I1094," stance"),$H$1122)</f>
        <v>soft borders</v>
      </c>
      <c r="BN203" s="409" t="str">
        <f>IF(I1094=0,""," on the issue ")</f>
        <v xml:space="preserve"> on the issue </v>
      </c>
      <c r="BO203" s="2" t="str">
        <f>IF(D1124="","raised",CONCATENATE("of ",$D$1124))</f>
        <v>of immigration</v>
      </c>
      <c r="BP203" s="409" t="str">
        <f>IF(I1094=0,"",", you can suspect their ")</f>
        <v xml:space="preserve">, you can suspect their </v>
      </c>
    </row>
    <row r="204" spans="1:68" ht="10.050000000000001" customHeight="1">
      <c r="A204" s="199"/>
      <c r="B204" s="24"/>
      <c r="C204" s="24"/>
      <c r="D204" s="24"/>
      <c r="E204" s="24"/>
      <c r="F204" s="24"/>
      <c r="G204" s="24"/>
      <c r="H204" s="24"/>
      <c r="I204" s="24"/>
      <c r="J204" s="24"/>
      <c r="K204" s="24"/>
      <c r="L204" s="24"/>
      <c r="M204" s="24"/>
      <c r="N204" s="200"/>
      <c r="O204" s="199"/>
      <c r="P204" s="24"/>
      <c r="Q204" s="24"/>
      <c r="R204" s="24"/>
      <c r="S204" s="24"/>
      <c r="T204" s="24"/>
      <c r="U204" s="24"/>
      <c r="V204" s="24"/>
      <c r="W204" s="24"/>
      <c r="X204" s="24"/>
      <c r="Y204" s="24"/>
      <c r="Z204" s="24"/>
      <c r="AA204" s="24"/>
      <c r="AB204" s="200"/>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BM204" s="2" t="str">
        <f>B1105</f>
        <v>LIBERAL</v>
      </c>
      <c r="BO204" s="46" t="s">
        <v>1602</v>
      </c>
    </row>
    <row r="205" spans="1:68" ht="19.95" customHeight="1">
      <c r="A205" s="199"/>
      <c r="B205" s="588" t="s">
        <v>1796</v>
      </c>
      <c r="C205" s="397"/>
      <c r="D205" s="397"/>
      <c r="E205" s="397"/>
      <c r="F205" s="397"/>
      <c r="G205" s="397"/>
      <c r="H205" s="397"/>
      <c r="I205" s="397"/>
      <c r="J205" s="397"/>
      <c r="K205" s="397"/>
      <c r="L205" s="397"/>
      <c r="M205" s="397"/>
      <c r="N205" s="200"/>
      <c r="O205" s="199"/>
      <c r="P205" s="24"/>
      <c r="Q205" s="24"/>
      <c r="R205" s="24"/>
      <c r="S205" s="24"/>
      <c r="T205" s="24"/>
      <c r="U205" s="24"/>
      <c r="V205" s="24"/>
      <c r="W205" s="24"/>
      <c r="X205" s="24"/>
      <c r="Y205" s="24"/>
      <c r="Z205" s="24"/>
      <c r="AA205" s="24"/>
      <c r="AB205" s="200"/>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BM205" s="2" t="str">
        <f>B1112</f>
        <v>CONSERVATIVE</v>
      </c>
      <c r="BO205" s="46" t="s">
        <v>1603</v>
      </c>
    </row>
    <row r="206" spans="1:68" ht="10.050000000000001" customHeight="1">
      <c r="A206" s="199"/>
      <c r="B206" s="397"/>
      <c r="C206" s="397"/>
      <c r="D206" s="397"/>
      <c r="E206" s="397"/>
      <c r="F206" s="397"/>
      <c r="G206" s="397"/>
      <c r="H206" s="397"/>
      <c r="I206" s="397"/>
      <c r="J206" s="397"/>
      <c r="K206" s="397"/>
      <c r="L206" s="397"/>
      <c r="M206" s="397"/>
      <c r="N206" s="200"/>
      <c r="O206" s="199"/>
      <c r="P206" s="24"/>
      <c r="Q206" s="24"/>
      <c r="R206" s="24"/>
      <c r="S206" s="24"/>
      <c r="T206" s="24"/>
      <c r="U206" s="24"/>
      <c r="V206" s="24"/>
      <c r="W206" s="24"/>
      <c r="X206" s="24"/>
      <c r="Y206" s="24"/>
      <c r="Z206" s="24"/>
      <c r="AA206" s="24"/>
      <c r="AB206" s="200"/>
      <c r="AC206" s="1"/>
      <c r="AD206" s="1"/>
      <c r="AE206" s="1"/>
      <c r="AF206" s="1"/>
      <c r="AG206" s="1"/>
      <c r="AH206" s="1"/>
      <c r="AI206" s="1"/>
      <c r="AJ206" s="1"/>
      <c r="AK206" s="1"/>
      <c r="AL206" s="1"/>
      <c r="AM206" s="1"/>
      <c r="AN206" s="1"/>
      <c r="AO206" s="1"/>
      <c r="AP206" s="1"/>
      <c r="AQ206" s="1"/>
      <c r="AR206" s="1"/>
      <c r="AS206" s="1"/>
      <c r="AT206" s="1"/>
      <c r="AU206" s="1"/>
      <c r="AV206" s="1"/>
      <c r="AW206" s="1"/>
      <c r="AX206" s="1"/>
      <c r="AY206" s="1"/>
    </row>
    <row r="207" spans="1:68" ht="19.95" customHeight="1">
      <c r="A207" s="199"/>
      <c r="B207" s="1277" t="str">
        <f>BF207</f>
        <v>This HP tool helps you translate your client's political rhetoric into their current priority of needs. First, at the level of access to public resources to address their immigration-related needs. Second, at the deeper level of their impacted psychosocial needs. 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C207" s="1277"/>
      <c r="D207" s="1277"/>
      <c r="E207" s="1277"/>
      <c r="F207" s="1277"/>
      <c r="G207" s="1277"/>
      <c r="H207" s="1277"/>
      <c r="I207" s="1277"/>
      <c r="J207" s="1277"/>
      <c r="K207" s="1277"/>
      <c r="L207" s="1277"/>
      <c r="M207" s="1277"/>
      <c r="N207" s="200"/>
      <c r="O207" s="199"/>
      <c r="P207" s="24"/>
      <c r="Q207" s="24"/>
      <c r="R207" s="24"/>
      <c r="S207" s="24"/>
      <c r="T207" s="24"/>
      <c r="U207" s="24"/>
      <c r="V207" s="24"/>
      <c r="W207" s="24"/>
      <c r="X207" s="24"/>
      <c r="Y207" s="24"/>
      <c r="Z207" s="24"/>
      <c r="AA207" s="24"/>
      <c r="AB207" s="200"/>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BF207" s="459" t="str">
        <f>CONCATENATE(BH207,BI207,BJ207,BK207)</f>
        <v>This HP tool helps you translate your client's political rhetoric into their current priority of needs. First, at the level of access to public resources to address their immigration-related needs. Second, at the deeper level of their impacted psychosocial needs. 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H207" s="409" t="s">
        <v>1606</v>
      </c>
      <c r="BI207" s="2" t="str">
        <f>IF($D$1124="","issue",$D$1124)</f>
        <v>immigration</v>
      </c>
      <c r="BJ207" s="410" t="s">
        <v>1795</v>
      </c>
      <c r="BK207" s="46" t="str">
        <f>IF(I1094=0,BK209,BK208)</f>
        <v>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M207" s="2" t="str">
        <f>IF($BO$211=$BM$204,BO204,IF($BO$211=$BM$205,BO205,""))</f>
        <v>self-needs, like authenticity and privacy</v>
      </c>
      <c r="BN207" s="409" t="str">
        <f>IF(I1094=0,"",", are more resolved than their ")</f>
        <v xml:space="preserve">, are more resolved than their </v>
      </c>
      <c r="BO207" s="2" t="str">
        <f>IF($BO$211=$BM$204,BM208,IF($BO$211=$BM$205,BM209,""))</f>
        <v>social-needs, like inclusion and fairness</v>
      </c>
      <c r="BP207" s="409" t="str">
        <f>IF(I1094=0,"",". You can affirm the needs themselves, without premature agreement or disagreement for what to do about them.")</f>
        <v>. You can affirm the needs themselves, without premature agreement or disagreement for what to do about them.</v>
      </c>
    </row>
    <row r="208" spans="1:68" ht="19.95" customHeight="1">
      <c r="A208" s="199"/>
      <c r="B208" s="1277"/>
      <c r="C208" s="1277"/>
      <c r="D208" s="1277"/>
      <c r="E208" s="1277"/>
      <c r="F208" s="1277"/>
      <c r="G208" s="1277"/>
      <c r="H208" s="1277"/>
      <c r="I208" s="1277"/>
      <c r="J208" s="1277"/>
      <c r="K208" s="1277"/>
      <c r="L208" s="1277"/>
      <c r="M208" s="1277"/>
      <c r="N208" s="200"/>
      <c r="O208" s="199"/>
      <c r="P208" s="24"/>
      <c r="Q208" s="24"/>
      <c r="R208" s="24"/>
      <c r="S208" s="24"/>
      <c r="T208" s="24"/>
      <c r="U208" s="24"/>
      <c r="V208" s="24"/>
      <c r="W208" s="24"/>
      <c r="X208" s="24"/>
      <c r="Y208" s="24"/>
      <c r="Z208" s="24"/>
      <c r="AA208" s="24"/>
      <c r="AB208" s="200"/>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BK208" s="565" t="str">
        <f>CONCATENATE(BL208,BM203,BN203,BO203,BP203,BM207,BN207,BO207,BP207,BU208,BV208)</f>
        <v>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L208" s="465" t="str">
        <f>IF($I$1094=0,BK209,"If your client favors ")</f>
        <v xml:space="preserve">If your client favors </v>
      </c>
      <c r="BM208" s="46" t="s">
        <v>1604</v>
      </c>
    </row>
    <row r="209" spans="1:67" ht="19.95" customHeight="1">
      <c r="A209" s="199"/>
      <c r="B209" s="1277"/>
      <c r="C209" s="1277"/>
      <c r="D209" s="1277"/>
      <c r="E209" s="1277"/>
      <c r="F209" s="1277"/>
      <c r="G209" s="1277"/>
      <c r="H209" s="1277"/>
      <c r="I209" s="1277"/>
      <c r="J209" s="1277"/>
      <c r="K209" s="1277"/>
      <c r="L209" s="1277"/>
      <c r="M209" s="1277"/>
      <c r="N209" s="200"/>
      <c r="O209" s="199"/>
      <c r="P209" s="24"/>
      <c r="Q209" s="24"/>
      <c r="R209" s="24"/>
      <c r="S209" s="24"/>
      <c r="T209" s="24"/>
      <c r="U209" s="24"/>
      <c r="V209" s="24"/>
      <c r="W209" s="24"/>
      <c r="X209" s="24"/>
      <c r="Y209" s="24"/>
      <c r="Z209" s="24"/>
      <c r="AA209" s="24"/>
      <c r="AB209" s="200"/>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BK209" s="564" t="s">
        <v>1797</v>
      </c>
      <c r="BM209" s="46" t="s">
        <v>1605</v>
      </c>
    </row>
    <row r="210" spans="1:67" ht="19.95" customHeight="1">
      <c r="A210" s="199"/>
      <c r="B210" s="1277"/>
      <c r="C210" s="1277"/>
      <c r="D210" s="1277"/>
      <c r="E210" s="1277"/>
      <c r="F210" s="1277"/>
      <c r="G210" s="1277"/>
      <c r="H210" s="1277"/>
      <c r="I210" s="1277"/>
      <c r="J210" s="1277"/>
      <c r="K210" s="1277"/>
      <c r="L210" s="1277"/>
      <c r="M210" s="1277"/>
      <c r="N210" s="200"/>
      <c r="O210" s="199"/>
      <c r="P210" s="24"/>
      <c r="Q210" s="24"/>
      <c r="R210" s="24"/>
      <c r="S210" s="24"/>
      <c r="T210" s="24"/>
      <c r="U210" s="24"/>
      <c r="V210" s="24"/>
      <c r="W210" s="24"/>
      <c r="X210" s="24"/>
      <c r="Y210" s="24"/>
      <c r="Z210" s="24"/>
      <c r="AA210" s="24"/>
      <c r="AB210" s="200"/>
      <c r="AC210" s="1"/>
      <c r="AD210" s="1"/>
      <c r="AE210" s="1"/>
      <c r="AF210" s="1"/>
      <c r="AG210" s="1"/>
      <c r="AH210" s="1"/>
      <c r="AI210" s="1"/>
      <c r="AJ210" s="1"/>
      <c r="AK210" s="1"/>
      <c r="AL210" s="1"/>
      <c r="AM210" s="1"/>
      <c r="AN210" s="1"/>
      <c r="AO210" s="1"/>
      <c r="AP210" s="1"/>
      <c r="AQ210" s="1"/>
      <c r="AR210" s="1"/>
      <c r="AS210" s="1"/>
      <c r="AT210" s="1"/>
      <c r="AU210" s="1"/>
      <c r="AV210" s="1"/>
      <c r="AW210" s="1"/>
      <c r="AX210" s="1"/>
      <c r="AY210" s="1"/>
    </row>
    <row r="211" spans="1:67" ht="19.95" customHeight="1">
      <c r="A211" s="199"/>
      <c r="B211" s="1277"/>
      <c r="C211" s="1277"/>
      <c r="D211" s="1277"/>
      <c r="E211" s="1277"/>
      <c r="F211" s="1277"/>
      <c r="G211" s="1277"/>
      <c r="H211" s="1277"/>
      <c r="I211" s="1277"/>
      <c r="J211" s="1277"/>
      <c r="K211" s="1277"/>
      <c r="L211" s="1277"/>
      <c r="M211" s="1277"/>
      <c r="N211" s="200"/>
      <c r="O211" s="199"/>
      <c r="P211" s="24"/>
      <c r="Q211" s="24"/>
      <c r="R211" s="24"/>
      <c r="S211" s="24"/>
      <c r="T211" s="24"/>
      <c r="U211" s="24"/>
      <c r="V211" s="24"/>
      <c r="W211" s="24"/>
      <c r="X211" s="24"/>
      <c r="Y211" s="24"/>
      <c r="Z211" s="24"/>
      <c r="AA211" s="24"/>
      <c r="AB211" s="200"/>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BO211" s="2" t="str">
        <f>E1094</f>
        <v>LIBERAL</v>
      </c>
    </row>
    <row r="212" spans="1:67" ht="19.95" customHeight="1">
      <c r="A212" s="199"/>
      <c r="B212" s="1277"/>
      <c r="C212" s="1277"/>
      <c r="D212" s="1277"/>
      <c r="E212" s="1277"/>
      <c r="F212" s="1277"/>
      <c r="G212" s="1277"/>
      <c r="H212" s="1277"/>
      <c r="I212" s="1277"/>
      <c r="J212" s="1277"/>
      <c r="K212" s="1277"/>
      <c r="L212" s="1277"/>
      <c r="M212" s="1277"/>
      <c r="N212" s="200"/>
      <c r="O212" s="199"/>
      <c r="P212" s="24"/>
      <c r="Q212" s="24"/>
      <c r="R212" s="24"/>
      <c r="S212" s="24"/>
      <c r="T212" s="24"/>
      <c r="U212" s="24"/>
      <c r="V212" s="24"/>
      <c r="W212" s="24"/>
      <c r="X212" s="24"/>
      <c r="Y212" s="24"/>
      <c r="Z212" s="24"/>
      <c r="AA212" s="24"/>
      <c r="AB212" s="200"/>
      <c r="AC212" s="1"/>
      <c r="AD212" s="1"/>
      <c r="AE212" s="1"/>
      <c r="AF212" s="1"/>
      <c r="AG212" s="1"/>
      <c r="AH212" s="1"/>
      <c r="AI212" s="1"/>
      <c r="AJ212" s="1"/>
      <c r="AK212" s="1"/>
      <c r="AL212" s="1"/>
      <c r="AM212" s="1"/>
      <c r="AN212" s="1"/>
      <c r="AO212" s="1"/>
      <c r="AP212" s="1"/>
      <c r="AQ212" s="1"/>
      <c r="AR212" s="1"/>
      <c r="AS212" s="1"/>
      <c r="AT212" s="1"/>
      <c r="AU212" s="1"/>
      <c r="AV212" s="1"/>
      <c r="AW212" s="1"/>
      <c r="AX212" s="1"/>
      <c r="AY212" s="1"/>
    </row>
    <row r="213" spans="1:67" ht="4.95" customHeight="1">
      <c r="A213" s="199"/>
      <c r="B213" s="24"/>
      <c r="C213" s="24"/>
      <c r="D213" s="24"/>
      <c r="E213" s="24"/>
      <c r="F213" s="24"/>
      <c r="G213" s="24"/>
      <c r="H213" s="24"/>
      <c r="I213" s="24"/>
      <c r="J213" s="24"/>
      <c r="K213" s="24"/>
      <c r="L213" s="24"/>
      <c r="M213" s="24"/>
      <c r="N213" s="200"/>
      <c r="O213" s="199"/>
      <c r="P213" s="24"/>
      <c r="Q213" s="24"/>
      <c r="R213" s="24"/>
      <c r="S213" s="24"/>
      <c r="T213" s="24"/>
      <c r="U213" s="24"/>
      <c r="V213" s="24"/>
      <c r="W213" s="24"/>
      <c r="X213" s="24"/>
      <c r="Y213" s="24"/>
      <c r="Z213" s="24"/>
      <c r="AA213" s="24"/>
      <c r="AB213" s="200"/>
      <c r="AC213" s="1"/>
      <c r="AD213" s="1"/>
      <c r="AE213" s="1"/>
      <c r="AF213" s="1"/>
      <c r="AG213" s="1"/>
      <c r="AH213" s="1"/>
      <c r="AI213" s="1"/>
      <c r="AJ213" s="1"/>
      <c r="AK213" s="1"/>
      <c r="AL213" s="1"/>
      <c r="AM213" s="1"/>
      <c r="AN213" s="1"/>
      <c r="AO213" s="1"/>
      <c r="AP213" s="1"/>
      <c r="AQ213" s="1"/>
      <c r="AR213" s="1"/>
      <c r="AS213" s="1"/>
      <c r="AT213" s="1"/>
      <c r="AU213" s="1"/>
      <c r="AV213" s="1"/>
      <c r="AW213" s="1"/>
      <c r="AX213" s="1"/>
      <c r="AY213" s="1"/>
    </row>
    <row r="214" spans="1:67" ht="19.95" customHeight="1">
      <c r="A214" s="199"/>
      <c r="B214" s="1277" t="str">
        <f>BF214</f>
        <v>Politics lets your client guard their vulnerable needs beneath a cloak of publically supported beliefs. They count on that support to insist what others must do, to respect their immigration-affected needs. They get to check how much you respect their immigration-affected needs. You can show the deepest respect by affirming their underlying needs, without premature agreement or disagreement for what to do about such needs. You acknowledge how important it must be for them to help all immigrants. You offer no judgment how that can serve or hinder their needs.</v>
      </c>
      <c r="C214" s="1277"/>
      <c r="D214" s="1277"/>
      <c r="E214" s="1277"/>
      <c r="F214" s="1277"/>
      <c r="G214" s="1277"/>
      <c r="H214" s="1277"/>
      <c r="I214" s="1277"/>
      <c r="J214" s="1277"/>
      <c r="K214" s="1277"/>
      <c r="L214" s="1277"/>
      <c r="M214" s="1277"/>
      <c r="N214" s="200"/>
      <c r="O214" s="199"/>
      <c r="P214" s="24"/>
      <c r="Q214" s="24"/>
      <c r="R214" s="24"/>
      <c r="S214" s="24"/>
      <c r="T214" s="24"/>
      <c r="U214" s="24"/>
      <c r="V214" s="24"/>
      <c r="W214" s="24"/>
      <c r="X214" s="24"/>
      <c r="Y214" s="24"/>
      <c r="Z214" s="24"/>
      <c r="AA214" s="24"/>
      <c r="AB214" s="200"/>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BF214" s="459" t="str">
        <f>CONCATENATE(BH214,BI214,BJ214,BK214,BL214,BM214,BN214,BO214)</f>
        <v>Politics lets your client guard their vulnerable needs beneath a cloak of publically supported beliefs. They count on that support to insist what others must do, to respect their immigration-affected needs. They get to check how much you respect their immigration-affected needs. You can show the deepest respect by affirming their underlying needs, without premature agreement or disagreement for what to do about such needs. You acknowledge how important it must be for them to help all immigrants. You offer no judgment how that can serve or hinder their needs.</v>
      </c>
      <c r="BH214" s="409" t="s">
        <v>1607</v>
      </c>
      <c r="BI214" s="2" t="str">
        <f>BI207</f>
        <v>immigration</v>
      </c>
      <c r="BJ214" s="410" t="s">
        <v>1608</v>
      </c>
      <c r="BK214" s="2" t="str">
        <f>BI214</f>
        <v>immigration</v>
      </c>
      <c r="BL214" s="410" t="s">
        <v>1609</v>
      </c>
      <c r="BM214" s="2" t="str">
        <f>IF(R1122="","ease their pain",R1122)</f>
        <v>help all immigrants</v>
      </c>
      <c r="BN214" s="465" t="s">
        <v>1805</v>
      </c>
    </row>
    <row r="215" spans="1:67" ht="19.95" customHeight="1">
      <c r="A215" s="199"/>
      <c r="B215" s="1277"/>
      <c r="C215" s="1277"/>
      <c r="D215" s="1277"/>
      <c r="E215" s="1277"/>
      <c r="F215" s="1277"/>
      <c r="G215" s="1277"/>
      <c r="H215" s="1277"/>
      <c r="I215" s="1277"/>
      <c r="J215" s="1277"/>
      <c r="K215" s="1277"/>
      <c r="L215" s="1277"/>
      <c r="M215" s="1277"/>
      <c r="N215" s="200"/>
      <c r="O215" s="199"/>
      <c r="P215" s="24"/>
      <c r="Q215" s="24"/>
      <c r="R215" s="24"/>
      <c r="S215" s="24"/>
      <c r="T215" s="24"/>
      <c r="U215" s="24"/>
      <c r="V215" s="24"/>
      <c r="W215" s="24"/>
      <c r="X215" s="24"/>
      <c r="Y215" s="24"/>
      <c r="Z215" s="24"/>
      <c r="AA215" s="24"/>
      <c r="AB215" s="200"/>
      <c r="AC215" s="1"/>
      <c r="AD215" s="1"/>
      <c r="AE215" s="1"/>
      <c r="AF215" s="1"/>
      <c r="AG215" s="1"/>
      <c r="AH215" s="1"/>
      <c r="AI215" s="1"/>
      <c r="AJ215" s="1"/>
      <c r="AK215" s="1"/>
      <c r="AL215" s="1"/>
      <c r="AM215" s="1"/>
      <c r="AN215" s="1"/>
      <c r="AO215" s="1"/>
      <c r="AP215" s="1"/>
      <c r="AQ215" s="1"/>
      <c r="AR215" s="1"/>
      <c r="AS215" s="1"/>
      <c r="AT215" s="1"/>
      <c r="AU215" s="1"/>
      <c r="AV215" s="1"/>
      <c r="AW215" s="1"/>
      <c r="AX215" s="1"/>
      <c r="AY215" s="1"/>
    </row>
    <row r="216" spans="1:67" ht="19.95" customHeight="1">
      <c r="A216" s="199"/>
      <c r="B216" s="1277"/>
      <c r="C216" s="1277"/>
      <c r="D216" s="1277"/>
      <c r="E216" s="1277"/>
      <c r="F216" s="1277"/>
      <c r="G216" s="1277"/>
      <c r="H216" s="1277"/>
      <c r="I216" s="1277"/>
      <c r="J216" s="1277"/>
      <c r="K216" s="1277"/>
      <c r="L216" s="1277"/>
      <c r="M216" s="1277"/>
      <c r="N216" s="200"/>
      <c r="O216" s="199"/>
      <c r="P216" s="24"/>
      <c r="Q216" s="24"/>
      <c r="R216" s="24"/>
      <c r="S216" s="24"/>
      <c r="T216" s="24"/>
      <c r="U216" s="24"/>
      <c r="V216" s="24"/>
      <c r="W216" s="24"/>
      <c r="X216" s="24"/>
      <c r="Y216" s="24"/>
      <c r="Z216" s="24"/>
      <c r="AA216" s="24"/>
      <c r="AB216" s="200"/>
      <c r="AC216" s="1"/>
      <c r="AD216" s="1"/>
      <c r="AE216" s="1"/>
      <c r="AF216" s="1"/>
      <c r="AG216" s="1"/>
      <c r="AH216" s="1"/>
      <c r="AI216" s="1"/>
      <c r="AJ216" s="1"/>
      <c r="AK216" s="1"/>
      <c r="AL216" s="1"/>
      <c r="AM216" s="1"/>
      <c r="AN216" s="1"/>
      <c r="AO216" s="1"/>
      <c r="AP216" s="1"/>
      <c r="AQ216" s="1"/>
      <c r="AR216" s="1"/>
      <c r="AS216" s="1"/>
      <c r="AT216" s="1"/>
      <c r="AU216" s="1"/>
      <c r="AV216" s="1"/>
      <c r="AW216" s="1"/>
      <c r="AX216" s="1"/>
      <c r="AY216" s="1"/>
    </row>
    <row r="217" spans="1:67" ht="19.95" customHeight="1">
      <c r="A217" s="199"/>
      <c r="B217" s="1277"/>
      <c r="C217" s="1277"/>
      <c r="D217" s="1277"/>
      <c r="E217" s="1277"/>
      <c r="F217" s="1277"/>
      <c r="G217" s="1277"/>
      <c r="H217" s="1277"/>
      <c r="I217" s="1277"/>
      <c r="J217" s="1277"/>
      <c r="K217" s="1277"/>
      <c r="L217" s="1277"/>
      <c r="M217" s="1277"/>
      <c r="N217" s="200"/>
      <c r="O217" s="199"/>
      <c r="P217" s="24"/>
      <c r="Q217" s="24"/>
      <c r="R217" s="24"/>
      <c r="S217" s="24"/>
      <c r="T217" s="24"/>
      <c r="U217" s="24"/>
      <c r="V217" s="24"/>
      <c r="W217" s="24"/>
      <c r="X217" s="24"/>
      <c r="Y217" s="24"/>
      <c r="Z217" s="24"/>
      <c r="AA217" s="24"/>
      <c r="AB217" s="200"/>
      <c r="AC217" s="1"/>
      <c r="AD217" s="1"/>
      <c r="AE217" s="1"/>
      <c r="AF217" s="1"/>
      <c r="AG217" s="1"/>
      <c r="AH217" s="1"/>
      <c r="AI217" s="1"/>
      <c r="AJ217" s="1"/>
      <c r="AK217" s="1"/>
      <c r="AL217" s="1"/>
      <c r="AM217" s="1"/>
      <c r="AN217" s="1"/>
      <c r="AO217" s="1"/>
      <c r="AP217" s="1"/>
      <c r="AQ217" s="1"/>
      <c r="AR217" s="1"/>
      <c r="AS217" s="1"/>
      <c r="AT217" s="1"/>
      <c r="AU217" s="1"/>
      <c r="AV217" s="1"/>
      <c r="AW217" s="1"/>
      <c r="AX217" s="1"/>
      <c r="AY217" s="1"/>
    </row>
    <row r="218" spans="1:67" ht="19.95" customHeight="1">
      <c r="A218" s="199"/>
      <c r="B218" s="1277"/>
      <c r="C218" s="1277"/>
      <c r="D218" s="1277"/>
      <c r="E218" s="1277"/>
      <c r="F218" s="1277"/>
      <c r="G218" s="1277"/>
      <c r="H218" s="1277"/>
      <c r="I218" s="1277"/>
      <c r="J218" s="1277"/>
      <c r="K218" s="1277"/>
      <c r="L218" s="1277"/>
      <c r="M218" s="1277"/>
      <c r="N218" s="200"/>
      <c r="O218" s="199"/>
      <c r="P218" s="24"/>
      <c r="Q218" s="24"/>
      <c r="R218" s="24"/>
      <c r="S218" s="24"/>
      <c r="T218" s="24"/>
      <c r="U218" s="24"/>
      <c r="V218" s="24"/>
      <c r="W218" s="24"/>
      <c r="X218" s="24"/>
      <c r="Y218" s="24"/>
      <c r="Z218" s="24"/>
      <c r="AA218" s="24"/>
      <c r="AB218" s="200"/>
      <c r="AC218" s="1"/>
      <c r="AD218" s="1"/>
      <c r="AE218" s="1"/>
      <c r="AF218" s="1"/>
      <c r="AG218" s="1"/>
      <c r="AH218" s="1"/>
      <c r="AI218" s="1"/>
      <c r="AJ218" s="1"/>
      <c r="AK218" s="1"/>
      <c r="AL218" s="1"/>
      <c r="AM218" s="1"/>
      <c r="AN218" s="1"/>
      <c r="AO218" s="1"/>
      <c r="AP218" s="1"/>
      <c r="AQ218" s="1"/>
      <c r="AR218" s="1"/>
      <c r="AS218" s="1"/>
      <c r="AT218" s="1"/>
      <c r="AU218" s="1"/>
      <c r="AV218" s="1"/>
      <c r="AW218" s="1"/>
      <c r="AX218" s="1"/>
      <c r="AY218" s="1"/>
    </row>
    <row r="219" spans="1:67" ht="19.95" customHeight="1">
      <c r="A219" s="199"/>
      <c r="B219" s="1277"/>
      <c r="C219" s="1277"/>
      <c r="D219" s="1277"/>
      <c r="E219" s="1277"/>
      <c r="F219" s="1277"/>
      <c r="G219" s="1277"/>
      <c r="H219" s="1277"/>
      <c r="I219" s="1277"/>
      <c r="J219" s="1277"/>
      <c r="K219" s="1277"/>
      <c r="L219" s="1277"/>
      <c r="M219" s="1277"/>
      <c r="N219" s="200"/>
      <c r="O219" s="199"/>
      <c r="P219" s="24"/>
      <c r="Q219" s="24"/>
      <c r="R219" s="24"/>
      <c r="S219" s="24"/>
      <c r="T219" s="24"/>
      <c r="U219" s="24"/>
      <c r="V219" s="24"/>
      <c r="W219" s="24"/>
      <c r="X219" s="24"/>
      <c r="Y219" s="24"/>
      <c r="Z219" s="24"/>
      <c r="AA219" s="24"/>
      <c r="AB219" s="200"/>
      <c r="AC219" s="1"/>
      <c r="AD219" s="1"/>
      <c r="AE219" s="1"/>
      <c r="AF219" s="1"/>
      <c r="AG219" s="1"/>
      <c r="AH219" s="1"/>
      <c r="AI219" s="1"/>
      <c r="AJ219" s="1"/>
      <c r="AK219" s="1"/>
      <c r="AL219" s="1"/>
      <c r="AM219" s="1"/>
      <c r="AN219" s="1"/>
      <c r="AO219" s="1"/>
      <c r="AP219" s="1"/>
      <c r="AQ219" s="1"/>
      <c r="AR219" s="1"/>
      <c r="AS219" s="1"/>
      <c r="AT219" s="1"/>
      <c r="AU219" s="1"/>
      <c r="AV219" s="1"/>
      <c r="AW219" s="1"/>
      <c r="AX219" s="1"/>
      <c r="AY219" s="1"/>
    </row>
    <row r="220" spans="1:67" ht="4.95" customHeight="1">
      <c r="A220" s="199"/>
      <c r="B220" s="24"/>
      <c r="C220" s="24"/>
      <c r="D220" s="24"/>
      <c r="E220" s="24"/>
      <c r="F220" s="24"/>
      <c r="G220" s="24"/>
      <c r="H220" s="24"/>
      <c r="I220" s="24"/>
      <c r="J220" s="24"/>
      <c r="K220" s="24"/>
      <c r="L220" s="24"/>
      <c r="M220" s="24"/>
      <c r="N220" s="200"/>
      <c r="O220" s="199"/>
      <c r="P220" s="24"/>
      <c r="Q220" s="24"/>
      <c r="R220" s="24"/>
      <c r="S220" s="24"/>
      <c r="T220" s="24"/>
      <c r="U220" s="24"/>
      <c r="V220" s="24"/>
      <c r="W220" s="24"/>
      <c r="X220" s="24"/>
      <c r="Y220" s="24"/>
      <c r="Z220" s="24"/>
      <c r="AA220" s="24"/>
      <c r="AB220" s="200"/>
      <c r="AC220" s="1"/>
      <c r="AD220" s="1"/>
      <c r="AE220" s="1"/>
      <c r="AF220" s="1"/>
      <c r="AG220" s="1"/>
      <c r="AH220" s="1"/>
      <c r="AI220" s="1"/>
      <c r="AJ220" s="1"/>
      <c r="AK220" s="1"/>
      <c r="AL220" s="1"/>
      <c r="AM220" s="1"/>
      <c r="AN220" s="1"/>
      <c r="AO220" s="1"/>
      <c r="AP220" s="1"/>
      <c r="AQ220" s="1"/>
      <c r="AR220" s="1"/>
      <c r="AS220" s="1"/>
      <c r="AT220" s="1"/>
      <c r="AU220" s="1"/>
      <c r="AV220" s="1"/>
      <c r="AW220" s="1"/>
      <c r="AX220" s="1"/>
      <c r="AY220" s="1"/>
    </row>
    <row r="221" spans="1:67" ht="19.95" customHeight="1">
      <c r="A221" s="199"/>
      <c r="B221" s="1277" t="str">
        <f>BF221</f>
        <v>As an honored role in this helping profession, you are more helpful when guiding your client beyond the fragile certainty of immigration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v>
      </c>
      <c r="C221" s="1277"/>
      <c r="D221" s="1277"/>
      <c r="E221" s="1277"/>
      <c r="F221" s="1277"/>
      <c r="G221" s="1277"/>
      <c r="H221" s="1277"/>
      <c r="I221" s="1277"/>
      <c r="J221" s="1277"/>
      <c r="K221" s="1277"/>
      <c r="L221" s="1277"/>
      <c r="M221" s="1277"/>
      <c r="N221" s="200"/>
      <c r="O221" s="199"/>
      <c r="P221" s="24"/>
      <c r="Q221" s="24"/>
      <c r="R221" s="24"/>
      <c r="S221" s="24"/>
      <c r="T221" s="24"/>
      <c r="U221" s="24"/>
      <c r="V221" s="24"/>
      <c r="W221" s="24"/>
      <c r="X221" s="24"/>
      <c r="Y221" s="24"/>
      <c r="Z221" s="24"/>
      <c r="AA221" s="24"/>
      <c r="AB221" s="200"/>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BF221" s="459" t="str">
        <f>CONCATENATE(BH221,BI221,BJ221,BK221,BL221,BM221,BN221,BO221)</f>
        <v>As an honored role in this helping profession, you are more helpful when guiding your client beyond the fragile certainty of immigration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v>
      </c>
      <c r="BH221" s="409" t="s">
        <v>1807</v>
      </c>
      <c r="BI221" s="2" t="str">
        <f>IF($H$101="","expressed",$BI$214)</f>
        <v>immigration</v>
      </c>
      <c r="BJ221" s="465" t="s">
        <v>1808</v>
      </c>
    </row>
    <row r="222" spans="1:67" ht="19.95" customHeight="1">
      <c r="A222" s="199"/>
      <c r="B222" s="1277"/>
      <c r="C222" s="1277"/>
      <c r="D222" s="1277"/>
      <c r="E222" s="1277"/>
      <c r="F222" s="1277"/>
      <c r="G222" s="1277"/>
      <c r="H222" s="1277"/>
      <c r="I222" s="1277"/>
      <c r="J222" s="1277"/>
      <c r="K222" s="1277"/>
      <c r="L222" s="1277"/>
      <c r="M222" s="1277"/>
      <c r="N222" s="200"/>
      <c r="O222" s="199"/>
      <c r="P222" s="24"/>
      <c r="Q222" s="24"/>
      <c r="R222" s="24"/>
      <c r="S222" s="24"/>
      <c r="T222" s="24"/>
      <c r="U222" s="24"/>
      <c r="V222" s="24"/>
      <c r="W222" s="24"/>
      <c r="X222" s="24"/>
      <c r="Y222" s="24"/>
      <c r="Z222" s="24"/>
      <c r="AA222" s="24"/>
      <c r="AB222" s="200"/>
      <c r="AC222" s="1"/>
      <c r="AD222" s="1"/>
      <c r="AE222" s="1"/>
      <c r="AF222" s="1"/>
      <c r="AG222" s="1"/>
      <c r="AH222" s="1"/>
      <c r="AI222" s="1"/>
      <c r="AJ222" s="1"/>
      <c r="AK222" s="1"/>
      <c r="AL222" s="1"/>
      <c r="AM222" s="1"/>
      <c r="AN222" s="1"/>
      <c r="AO222" s="1"/>
      <c r="AP222" s="1"/>
      <c r="AQ222" s="1"/>
      <c r="AR222" s="1"/>
      <c r="AS222" s="1"/>
      <c r="AT222" s="1"/>
      <c r="AU222" s="1"/>
      <c r="AV222" s="1"/>
      <c r="AW222" s="1"/>
      <c r="AX222" s="1"/>
      <c r="AY222" s="1"/>
    </row>
    <row r="223" spans="1:67" ht="19.95" customHeight="1">
      <c r="A223" s="199"/>
      <c r="B223" s="1277"/>
      <c r="C223" s="1277"/>
      <c r="D223" s="1277"/>
      <c r="E223" s="1277"/>
      <c r="F223" s="1277"/>
      <c r="G223" s="1277"/>
      <c r="H223" s="1277"/>
      <c r="I223" s="1277"/>
      <c r="J223" s="1277"/>
      <c r="K223" s="1277"/>
      <c r="L223" s="1277"/>
      <c r="M223" s="1277"/>
      <c r="N223" s="200"/>
      <c r="O223" s="199"/>
      <c r="P223" s="24"/>
      <c r="Q223" s="24"/>
      <c r="R223" s="24"/>
      <c r="S223" s="24"/>
      <c r="T223" s="24"/>
      <c r="U223" s="24"/>
      <c r="V223" s="24"/>
      <c r="W223" s="24"/>
      <c r="X223" s="24"/>
      <c r="Y223" s="24"/>
      <c r="Z223" s="24"/>
      <c r="AA223" s="24"/>
      <c r="AB223" s="200"/>
      <c r="AC223" s="1"/>
      <c r="AD223" s="1"/>
      <c r="AE223" s="1"/>
      <c r="AF223" s="1"/>
      <c r="AG223" s="1"/>
      <c r="AH223" s="1"/>
      <c r="AI223" s="1"/>
      <c r="AJ223" s="1"/>
      <c r="AK223" s="1"/>
      <c r="AL223" s="1"/>
      <c r="AM223" s="1"/>
      <c r="AN223" s="1"/>
      <c r="AO223" s="1"/>
      <c r="AP223" s="1"/>
      <c r="AQ223" s="1"/>
      <c r="AR223" s="1"/>
      <c r="AS223" s="1"/>
      <c r="AT223" s="1"/>
      <c r="AU223" s="1"/>
      <c r="AV223" s="1"/>
      <c r="AW223" s="1"/>
      <c r="AX223" s="1"/>
      <c r="AY223" s="1"/>
    </row>
    <row r="224" spans="1:67" ht="19.95" customHeight="1">
      <c r="A224" s="199"/>
      <c r="B224" s="1277"/>
      <c r="C224" s="1277"/>
      <c r="D224" s="1277"/>
      <c r="E224" s="1277"/>
      <c r="F224" s="1277"/>
      <c r="G224" s="1277"/>
      <c r="H224" s="1277"/>
      <c r="I224" s="1277"/>
      <c r="J224" s="1277"/>
      <c r="K224" s="1277"/>
      <c r="L224" s="1277"/>
      <c r="M224" s="1277"/>
      <c r="N224" s="200"/>
      <c r="O224" s="199"/>
      <c r="P224" s="24"/>
      <c r="Q224" s="24"/>
      <c r="R224" s="24"/>
      <c r="S224" s="24"/>
      <c r="T224" s="24"/>
      <c r="U224" s="24"/>
      <c r="V224" s="24"/>
      <c r="W224" s="24"/>
      <c r="X224" s="24"/>
      <c r="Y224" s="24"/>
      <c r="Z224" s="24"/>
      <c r="AA224" s="24"/>
      <c r="AB224" s="200"/>
      <c r="AC224" s="1"/>
      <c r="AD224" s="1"/>
      <c r="AE224" s="1"/>
      <c r="AF224" s="1"/>
      <c r="AG224" s="1"/>
      <c r="AH224" s="1"/>
      <c r="AI224" s="1"/>
      <c r="AJ224" s="1"/>
      <c r="AK224" s="1"/>
      <c r="AL224" s="1"/>
      <c r="AM224" s="1"/>
      <c r="AN224" s="1"/>
      <c r="AO224" s="1"/>
      <c r="AP224" s="1"/>
      <c r="AQ224" s="1"/>
      <c r="AR224" s="1"/>
      <c r="AS224" s="1"/>
      <c r="AT224" s="1"/>
      <c r="AU224" s="1"/>
      <c r="AV224" s="1"/>
      <c r="AW224" s="1"/>
      <c r="AX224" s="1"/>
      <c r="AY224" s="1"/>
    </row>
    <row r="225" spans="1:113" ht="19.95" customHeight="1">
      <c r="A225" s="199"/>
      <c r="B225" s="1277"/>
      <c r="C225" s="1277"/>
      <c r="D225" s="1277"/>
      <c r="E225" s="1277"/>
      <c r="F225" s="1277"/>
      <c r="G225" s="1277"/>
      <c r="H225" s="1277"/>
      <c r="I225" s="1277"/>
      <c r="J225" s="1277"/>
      <c r="K225" s="1277"/>
      <c r="L225" s="1277"/>
      <c r="M225" s="1277"/>
      <c r="N225" s="200"/>
      <c r="O225" s="199"/>
      <c r="P225" s="24"/>
      <c r="Q225" s="24"/>
      <c r="R225" s="24"/>
      <c r="S225" s="24"/>
      <c r="T225" s="24"/>
      <c r="U225" s="24"/>
      <c r="V225" s="24"/>
      <c r="W225" s="24"/>
      <c r="X225" s="24"/>
      <c r="Y225" s="24"/>
      <c r="Z225" s="24"/>
      <c r="AA225" s="24"/>
      <c r="AB225" s="200"/>
      <c r="AC225" s="1"/>
      <c r="AD225" s="1"/>
      <c r="AE225" s="1"/>
      <c r="AF225" s="1"/>
      <c r="AG225" s="1"/>
      <c r="AH225" s="1"/>
      <c r="AI225" s="1"/>
      <c r="AJ225" s="1"/>
      <c r="AK225" s="1"/>
      <c r="AL225" s="1"/>
      <c r="AM225" s="1"/>
      <c r="AN225" s="1"/>
      <c r="AO225" s="1"/>
      <c r="AP225" s="1"/>
      <c r="AQ225" s="1"/>
      <c r="AR225" s="1"/>
      <c r="AS225" s="1"/>
      <c r="AT225" s="1"/>
      <c r="AU225" s="1"/>
      <c r="AV225" s="1"/>
      <c r="AW225" s="1"/>
      <c r="AX225" s="1"/>
      <c r="AY225" s="1"/>
    </row>
    <row r="226" spans="1:113" ht="19.95" customHeight="1">
      <c r="A226" s="199"/>
      <c r="B226" s="1277"/>
      <c r="C226" s="1277"/>
      <c r="D226" s="1277"/>
      <c r="E226" s="1277"/>
      <c r="F226" s="1277"/>
      <c r="G226" s="1277"/>
      <c r="H226" s="1277"/>
      <c r="I226" s="1277"/>
      <c r="J226" s="1277"/>
      <c r="K226" s="1277"/>
      <c r="L226" s="1277"/>
      <c r="M226" s="1277"/>
      <c r="N226" s="200"/>
      <c r="O226" s="199"/>
      <c r="P226" s="24"/>
      <c r="Q226" s="24"/>
      <c r="R226" s="24"/>
      <c r="S226" s="24"/>
      <c r="T226" s="24"/>
      <c r="U226" s="24"/>
      <c r="V226" s="24"/>
      <c r="W226" s="24"/>
      <c r="X226" s="24"/>
      <c r="Y226" s="24"/>
      <c r="Z226" s="24"/>
      <c r="AA226" s="24"/>
      <c r="AB226" s="200"/>
      <c r="AC226" s="1"/>
      <c r="AD226" s="1"/>
      <c r="AE226" s="1"/>
      <c r="AF226" s="1"/>
      <c r="AG226" s="1"/>
      <c r="AH226" s="1"/>
      <c r="AI226" s="1"/>
      <c r="AJ226" s="1"/>
      <c r="AK226" s="1"/>
      <c r="AL226" s="1"/>
      <c r="AM226" s="1"/>
      <c r="AN226" s="1"/>
      <c r="AO226" s="1"/>
      <c r="AP226" s="1"/>
      <c r="AQ226" s="1"/>
      <c r="AR226" s="1"/>
      <c r="AS226" s="1"/>
      <c r="AT226" s="1"/>
      <c r="AU226" s="1"/>
      <c r="AV226" s="1"/>
      <c r="AW226" s="1"/>
      <c r="AX226" s="1"/>
      <c r="AY226" s="1"/>
    </row>
    <row r="227" spans="1:113" ht="25.05" customHeight="1">
      <c r="A227" s="199"/>
      <c r="B227" s="391"/>
      <c r="C227" s="391"/>
      <c r="D227" s="391"/>
      <c r="E227" s="391"/>
      <c r="F227" s="391"/>
      <c r="G227" s="391"/>
      <c r="H227" s="391"/>
      <c r="I227" s="391"/>
      <c r="J227" s="391"/>
      <c r="K227" s="391"/>
      <c r="L227" s="391"/>
      <c r="M227" s="391"/>
      <c r="N227" s="200"/>
      <c r="O227" s="199"/>
      <c r="P227" s="24"/>
      <c r="Q227" s="24"/>
      <c r="R227" s="24"/>
      <c r="S227" s="24"/>
      <c r="T227" s="24"/>
      <c r="U227" s="24"/>
      <c r="V227" s="24"/>
      <c r="W227" s="24"/>
      <c r="X227" s="24"/>
      <c r="Y227" s="24"/>
      <c r="Z227" s="24"/>
      <c r="AA227" s="24"/>
      <c r="AB227" s="200"/>
      <c r="AC227" s="1"/>
      <c r="AD227" s="1"/>
      <c r="AE227" s="1"/>
      <c r="AF227" s="1"/>
      <c r="AG227" s="1"/>
      <c r="AH227" s="1"/>
      <c r="AI227" s="1"/>
      <c r="AJ227" s="1"/>
      <c r="AK227" s="1"/>
      <c r="AL227" s="1"/>
      <c r="AM227" s="1"/>
      <c r="AN227" s="1"/>
      <c r="AO227" s="1"/>
      <c r="AP227" s="1"/>
      <c r="AQ227" s="1"/>
      <c r="AR227" s="1"/>
      <c r="AS227" s="1"/>
      <c r="AT227" s="1"/>
      <c r="AU227" s="1"/>
      <c r="AV227" s="1"/>
      <c r="AW227" s="1"/>
      <c r="AX227" s="1"/>
      <c r="AY227" s="1"/>
    </row>
    <row r="228" spans="1:113" ht="25.05" customHeight="1">
      <c r="A228" s="199"/>
      <c r="B228" s="391"/>
      <c r="C228" s="391"/>
      <c r="D228" s="391"/>
      <c r="E228" s="391"/>
      <c r="F228" s="391"/>
      <c r="G228" s="391"/>
      <c r="H228" s="391"/>
      <c r="I228" s="391"/>
      <c r="J228" s="391"/>
      <c r="K228" s="391"/>
      <c r="L228" s="391"/>
      <c r="M228" s="391"/>
      <c r="N228" s="200"/>
      <c r="O228" s="199"/>
      <c r="P228" s="24"/>
      <c r="Q228" s="24"/>
      <c r="R228" s="24"/>
      <c r="S228" s="24"/>
      <c r="T228" s="24"/>
      <c r="U228" s="24"/>
      <c r="V228" s="24"/>
      <c r="W228" s="24"/>
      <c r="X228" s="24"/>
      <c r="Y228" s="24"/>
      <c r="Z228" s="24"/>
      <c r="AA228" s="24"/>
      <c r="AB228" s="200"/>
      <c r="AC228" s="1"/>
      <c r="AD228" s="1"/>
      <c r="AE228" s="1"/>
      <c r="AF228" s="1"/>
      <c r="AG228" s="1"/>
      <c r="AH228" s="1"/>
      <c r="AI228" s="1"/>
      <c r="AJ228" s="1"/>
      <c r="AK228" s="1"/>
      <c r="AL228" s="1"/>
      <c r="AM228" s="1"/>
      <c r="AN228" s="1"/>
      <c r="AO228" s="1"/>
      <c r="AP228" s="1"/>
      <c r="AQ228" s="1"/>
      <c r="AR228" s="1"/>
      <c r="AS228" s="1"/>
      <c r="AT228" s="1"/>
      <c r="AU228" s="1"/>
      <c r="AV228" s="1"/>
      <c r="AW228" s="1"/>
      <c r="AX228" s="1"/>
      <c r="AY228" s="1"/>
    </row>
    <row r="229" spans="1:113" ht="19.95" customHeight="1">
      <c r="A229" s="199"/>
      <c r="B229" s="391"/>
      <c r="C229" s="391"/>
      <c r="D229" s="391"/>
      <c r="E229" s="391"/>
      <c r="F229" s="391"/>
      <c r="G229" s="391"/>
      <c r="H229" s="391"/>
      <c r="I229" s="391"/>
      <c r="J229" s="391"/>
      <c r="K229" s="391"/>
      <c r="L229" s="391"/>
      <c r="M229" s="391"/>
      <c r="N229" s="200"/>
      <c r="O229" s="199"/>
      <c r="P229" s="24"/>
      <c r="Q229" s="24"/>
      <c r="R229" s="24"/>
      <c r="S229" s="24"/>
      <c r="T229" s="24"/>
      <c r="U229" s="24"/>
      <c r="V229" s="24"/>
      <c r="W229" s="24"/>
      <c r="X229" s="24"/>
      <c r="Y229" s="24"/>
      <c r="Z229" s="24"/>
      <c r="AA229" s="24"/>
      <c r="AB229" s="200"/>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DA229" s="37"/>
    </row>
    <row r="230" spans="1:113" ht="4.95" customHeight="1">
      <c r="A230" s="199"/>
      <c r="B230" s="391"/>
      <c r="C230" s="391"/>
      <c r="D230" s="391"/>
      <c r="E230" s="391"/>
      <c r="F230" s="391"/>
      <c r="G230" s="391"/>
      <c r="H230" s="391"/>
      <c r="I230" s="391"/>
      <c r="J230" s="391"/>
      <c r="K230" s="391"/>
      <c r="L230" s="391"/>
      <c r="M230" s="391"/>
      <c r="N230" s="200"/>
      <c r="O230" s="199"/>
      <c r="P230" s="24"/>
      <c r="Q230" s="24"/>
      <c r="R230" s="24"/>
      <c r="S230" s="24"/>
      <c r="T230" s="24"/>
      <c r="U230" s="24"/>
      <c r="V230" s="24"/>
      <c r="W230" s="24"/>
      <c r="X230" s="24"/>
      <c r="Y230" s="24"/>
      <c r="Z230" s="24"/>
      <c r="AA230" s="24"/>
      <c r="AB230" s="200"/>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DI230" s="313"/>
    </row>
    <row r="231" spans="1:113" ht="24" customHeight="1">
      <c r="A231" s="199"/>
      <c r="B231" s="1277" t="str">
        <f>BF231</f>
        <v>Politics expresses agreement about ideas, about immigration. You resist that pull, to go straight to the needs affected by immigration. You affirm those needs without jumping ahead to what is to be done about those vulnerable needs affected by immigration. You understand but curb their generalized reactions.</v>
      </c>
      <c r="C231" s="1277"/>
      <c r="D231" s="1277"/>
      <c r="E231" s="1277"/>
      <c r="F231" s="1277"/>
      <c r="G231" s="1277"/>
      <c r="H231" s="1277"/>
      <c r="I231" s="1277"/>
      <c r="J231" s="1277"/>
      <c r="K231" s="1277"/>
      <c r="L231" s="1277"/>
      <c r="M231" s="1277"/>
      <c r="N231" s="200"/>
      <c r="O231" s="199"/>
      <c r="P231" s="24"/>
      <c r="Q231" s="24"/>
      <c r="R231" s="24"/>
      <c r="S231" s="24"/>
      <c r="T231" s="24"/>
      <c r="U231" s="24"/>
      <c r="V231" s="24"/>
      <c r="W231" s="24"/>
      <c r="X231" s="24"/>
      <c r="Y231" s="24"/>
      <c r="Z231" s="24"/>
      <c r="AA231" s="24"/>
      <c r="AB231" s="200"/>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BF231" s="459" t="str">
        <f>CONCATENATE(BH231,BI231,BJ231,BK231,BL231,BM231,BN231,BO231)</f>
        <v>Politics expresses agreement about ideas, about immigration. You resist that pull, to go straight to the needs affected by immigration. You affirm those needs without jumping ahead to what is to be done about those vulnerable needs affected by immigration. You understand but curb their generalized reactions.</v>
      </c>
      <c r="BH231" s="409" t="s">
        <v>1611</v>
      </c>
      <c r="BI231" s="2" t="str">
        <f>IF($D$1124="","what to do about shared problems",$D$1124)</f>
        <v>immigration</v>
      </c>
      <c r="BJ231" s="409" t="s">
        <v>1612</v>
      </c>
      <c r="BK231" s="2" t="str">
        <f>IF($D$1124="","such problems",$D$1124)</f>
        <v>immigration</v>
      </c>
      <c r="BL231" s="409" t="s">
        <v>1613</v>
      </c>
      <c r="BM231" s="2" t="str">
        <f>IF($D$1124="","the politicized issue",$D$1124)</f>
        <v>immigration</v>
      </c>
      <c r="BN231" s="465" t="s">
        <v>1951</v>
      </c>
    </row>
    <row r="232" spans="1:113" ht="24" customHeight="1">
      <c r="A232" s="199"/>
      <c r="B232" s="1277"/>
      <c r="C232" s="1277"/>
      <c r="D232" s="1277"/>
      <c r="E232" s="1277"/>
      <c r="F232" s="1277"/>
      <c r="G232" s="1277"/>
      <c r="H232" s="1277"/>
      <c r="I232" s="1277"/>
      <c r="J232" s="1277"/>
      <c r="K232" s="1277"/>
      <c r="L232" s="1277"/>
      <c r="M232" s="1277"/>
      <c r="N232" s="200"/>
      <c r="O232" s="199"/>
      <c r="P232" s="24"/>
      <c r="Q232" s="24"/>
      <c r="R232" s="24"/>
      <c r="S232" s="24"/>
      <c r="T232" s="24"/>
      <c r="U232" s="24"/>
      <c r="V232" s="24"/>
      <c r="W232" s="24"/>
      <c r="X232" s="24"/>
      <c r="Y232" s="24"/>
      <c r="Z232" s="24"/>
      <c r="AA232" s="24"/>
      <c r="AB232" s="200"/>
      <c r="AC232" s="1"/>
      <c r="AD232" s="1"/>
      <c r="AE232" s="1"/>
      <c r="AF232" s="1"/>
      <c r="AG232" s="1"/>
      <c r="AH232" s="1"/>
      <c r="AI232" s="1"/>
      <c r="AJ232" s="1"/>
      <c r="AK232" s="1"/>
      <c r="AL232" s="1"/>
      <c r="AM232" s="1"/>
      <c r="AN232" s="1"/>
      <c r="AO232" s="1"/>
      <c r="AP232" s="1"/>
      <c r="AQ232" s="1"/>
      <c r="AR232" s="1"/>
      <c r="AS232" s="1"/>
      <c r="AT232" s="1"/>
      <c r="AU232" s="1"/>
      <c r="AV232" s="1"/>
      <c r="AW232" s="1"/>
      <c r="AX232" s="1"/>
      <c r="AY232" s="1"/>
    </row>
    <row r="233" spans="1:113" ht="24" customHeight="1">
      <c r="A233" s="199"/>
      <c r="B233" s="1277"/>
      <c r="C233" s="1277"/>
      <c r="D233" s="1277"/>
      <c r="E233" s="1277"/>
      <c r="F233" s="1277"/>
      <c r="G233" s="1277"/>
      <c r="H233" s="1277"/>
      <c r="I233" s="1277"/>
      <c r="J233" s="1277"/>
      <c r="K233" s="1277"/>
      <c r="L233" s="1277"/>
      <c r="M233" s="1277"/>
      <c r="N233" s="200"/>
      <c r="O233" s="199"/>
      <c r="P233" s="24"/>
      <c r="Q233" s="24"/>
      <c r="R233" s="24"/>
      <c r="S233" s="24"/>
      <c r="T233" s="24"/>
      <c r="U233" s="24"/>
      <c r="V233" s="24"/>
      <c r="W233" s="24"/>
      <c r="X233" s="24"/>
      <c r="Y233" s="24"/>
      <c r="Z233" s="24"/>
      <c r="AA233" s="24"/>
      <c r="AB233" s="200"/>
      <c r="AC233" s="1"/>
      <c r="AD233" s="1"/>
      <c r="AE233" s="1"/>
      <c r="AF233" s="1"/>
      <c r="AG233" s="1"/>
      <c r="AH233" s="1"/>
      <c r="AI233" s="1"/>
      <c r="AJ233" s="1"/>
      <c r="AK233" s="1"/>
      <c r="AL233" s="1"/>
      <c r="AM233" s="1"/>
      <c r="AN233" s="1"/>
      <c r="AO233" s="1"/>
      <c r="AP233" s="1"/>
      <c r="AQ233" s="1"/>
      <c r="AR233" s="1"/>
      <c r="AS233" s="1"/>
      <c r="AT233" s="1"/>
      <c r="AU233" s="1"/>
      <c r="AV233" s="1"/>
      <c r="AW233" s="1"/>
      <c r="AX233" s="1"/>
      <c r="AY233" s="1"/>
    </row>
    <row r="234" spans="1:113" ht="4.95" customHeight="1">
      <c r="A234" s="199"/>
      <c r="B234" s="390"/>
      <c r="C234" s="390"/>
      <c r="D234" s="390"/>
      <c r="E234" s="390"/>
      <c r="F234" s="390"/>
      <c r="G234" s="390"/>
      <c r="H234" s="390"/>
      <c r="I234" s="390"/>
      <c r="J234" s="390"/>
      <c r="K234" s="390"/>
      <c r="L234" s="390"/>
      <c r="M234" s="390"/>
      <c r="N234" s="200"/>
      <c r="O234" s="199"/>
      <c r="P234" s="24"/>
      <c r="Q234" s="24"/>
      <c r="R234" s="24"/>
      <c r="S234" s="24"/>
      <c r="T234" s="24"/>
      <c r="U234" s="24"/>
      <c r="V234" s="24"/>
      <c r="W234" s="24"/>
      <c r="X234" s="24"/>
      <c r="Y234" s="24"/>
      <c r="Z234" s="24"/>
      <c r="AA234" s="24"/>
      <c r="AB234" s="200"/>
      <c r="AC234" s="1"/>
      <c r="AD234" s="1"/>
      <c r="AE234" s="1"/>
      <c r="AF234" s="1"/>
      <c r="AG234" s="1"/>
      <c r="AH234" s="1"/>
      <c r="AI234" s="1"/>
      <c r="AJ234" s="1"/>
      <c r="AK234" s="1"/>
      <c r="AL234" s="1"/>
      <c r="AM234" s="1"/>
      <c r="AN234" s="1"/>
      <c r="AO234" s="1"/>
      <c r="AP234" s="1"/>
      <c r="AQ234" s="1"/>
      <c r="AR234" s="1"/>
      <c r="AS234" s="1"/>
      <c r="AT234" s="1"/>
      <c r="AU234" s="1"/>
      <c r="AV234" s="1"/>
      <c r="AW234" s="1"/>
      <c r="AX234" s="1"/>
      <c r="AY234" s="1"/>
    </row>
    <row r="235" spans="1:113" ht="18" customHeight="1">
      <c r="A235" s="199"/>
      <c r="B235" s="1277" t="str">
        <f>BF235</f>
        <v xml:space="preserve">HP helps you distinguish between the inflexible prioritized needs around immigration, expressed in political terms, and the overgeneralizing expectations to ease such prioritized needs, also expressed in political terms. The former is not only legit but often essential. The latter is often problematic, for both sides. </v>
      </c>
      <c r="C235" s="1277"/>
      <c r="D235" s="1277"/>
      <c r="E235" s="1277"/>
      <c r="F235" s="1277"/>
      <c r="G235" s="1277"/>
      <c r="H235" s="1277"/>
      <c r="I235" s="1277"/>
      <c r="J235" s="1277"/>
      <c r="K235" s="1277"/>
      <c r="L235" s="1277"/>
      <c r="M235" s="1277"/>
      <c r="N235" s="200"/>
      <c r="O235" s="199"/>
      <c r="P235" s="24"/>
      <c r="Q235" s="24"/>
      <c r="R235" s="24"/>
      <c r="S235" s="24"/>
      <c r="T235" s="24"/>
      <c r="U235" s="24"/>
      <c r="V235" s="24"/>
      <c r="W235" s="24"/>
      <c r="X235" s="24"/>
      <c r="Y235" s="24"/>
      <c r="Z235" s="24"/>
      <c r="AA235" s="24"/>
      <c r="AB235" s="200"/>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BF235" s="459" t="str">
        <f>CONCATENATE(BH235,BI235,BJ235,BK235,BL235,BM235,BN235,BO235)</f>
        <v xml:space="preserve">HP helps you distinguish between the inflexible prioritized needs around immigration, expressed in political terms, and the overgeneralizing expectations to ease such prioritized needs, also expressed in political terms. The former is not only legit but often essential. The latter is often problematic, for both sides. </v>
      </c>
      <c r="BH235" s="409" t="s">
        <v>1610</v>
      </c>
      <c r="BI235" s="2" t="str">
        <f>IF($D$1124="","something",CONCATENATE($D$1124,","))</f>
        <v>immigration,</v>
      </c>
      <c r="BJ235" s="465" t="s">
        <v>1809</v>
      </c>
    </row>
    <row r="236" spans="1:113" ht="18" customHeight="1">
      <c r="A236" s="199"/>
      <c r="B236" s="1277"/>
      <c r="C236" s="1277"/>
      <c r="D236" s="1277"/>
      <c r="E236" s="1277"/>
      <c r="F236" s="1277"/>
      <c r="G236" s="1277"/>
      <c r="H236" s="1277"/>
      <c r="I236" s="1277"/>
      <c r="J236" s="1277"/>
      <c r="K236" s="1277"/>
      <c r="L236" s="1277"/>
      <c r="M236" s="1277"/>
      <c r="N236" s="200"/>
      <c r="O236" s="199"/>
      <c r="P236" s="24"/>
      <c r="Q236" s="24"/>
      <c r="R236" s="24"/>
      <c r="S236" s="24"/>
      <c r="T236" s="24"/>
      <c r="U236" s="24"/>
      <c r="V236" s="24"/>
      <c r="W236" s="24"/>
      <c r="X236" s="24"/>
      <c r="Y236" s="24"/>
      <c r="Z236" s="24"/>
      <c r="AA236" s="24"/>
      <c r="AB236" s="200"/>
      <c r="AC236" s="1"/>
      <c r="AD236" s="1"/>
      <c r="AE236" s="1"/>
      <c r="AF236" s="1"/>
      <c r="AG236" s="1"/>
      <c r="AH236" s="1"/>
      <c r="AI236" s="1"/>
      <c r="AJ236" s="1"/>
      <c r="AK236" s="1"/>
      <c r="AL236" s="1"/>
      <c r="AM236" s="1"/>
      <c r="AN236" s="1"/>
      <c r="AO236" s="1"/>
      <c r="AP236" s="1"/>
      <c r="AQ236" s="1"/>
      <c r="AR236" s="1"/>
      <c r="AS236" s="1"/>
      <c r="AT236" s="1"/>
      <c r="AU236" s="1"/>
      <c r="AV236" s="1"/>
      <c r="AW236" s="1"/>
      <c r="AX236" s="1"/>
      <c r="AY236" s="1"/>
    </row>
    <row r="237" spans="1:113" ht="18" customHeight="1">
      <c r="A237" s="199"/>
      <c r="B237" s="1277"/>
      <c r="C237" s="1277"/>
      <c r="D237" s="1277"/>
      <c r="E237" s="1277"/>
      <c r="F237" s="1277"/>
      <c r="G237" s="1277"/>
      <c r="H237" s="1277"/>
      <c r="I237" s="1277"/>
      <c r="J237" s="1277"/>
      <c r="K237" s="1277"/>
      <c r="L237" s="1277"/>
      <c r="M237" s="1277"/>
      <c r="N237" s="200"/>
      <c r="O237" s="199"/>
      <c r="P237" s="24"/>
      <c r="Q237" s="24"/>
      <c r="R237" s="24"/>
      <c r="S237" s="24"/>
      <c r="T237" s="24"/>
      <c r="U237" s="24"/>
      <c r="V237" s="24"/>
      <c r="W237" s="24"/>
      <c r="X237" s="24"/>
      <c r="Y237" s="24"/>
      <c r="Z237" s="24"/>
      <c r="AA237" s="24"/>
      <c r="AB237" s="200"/>
      <c r="AC237" s="1"/>
      <c r="AD237" s="1"/>
      <c r="AE237" s="1"/>
      <c r="AF237" s="1"/>
      <c r="AG237" s="1"/>
      <c r="AH237" s="1"/>
      <c r="AI237" s="1"/>
      <c r="AJ237" s="1"/>
      <c r="AK237" s="1"/>
      <c r="AL237" s="1"/>
      <c r="AM237" s="1"/>
      <c r="AN237" s="1"/>
      <c r="AO237" s="1"/>
      <c r="AP237" s="1"/>
      <c r="AQ237" s="1"/>
      <c r="AR237" s="1"/>
      <c r="AS237" s="1"/>
      <c r="AT237" s="1"/>
      <c r="AU237" s="1"/>
      <c r="AV237" s="1"/>
      <c r="AW237" s="1"/>
      <c r="AX237" s="1"/>
      <c r="AY237" s="1"/>
    </row>
    <row r="238" spans="1:113" ht="18" customHeight="1">
      <c r="A238" s="199"/>
      <c r="B238" s="1277"/>
      <c r="C238" s="1277"/>
      <c r="D238" s="1277"/>
      <c r="E238" s="1277"/>
      <c r="F238" s="1277"/>
      <c r="G238" s="1277"/>
      <c r="H238" s="1277"/>
      <c r="I238" s="1277"/>
      <c r="J238" s="1277"/>
      <c r="K238" s="1277"/>
      <c r="L238" s="1277"/>
      <c r="M238" s="1277"/>
      <c r="N238" s="200"/>
      <c r="O238" s="199"/>
      <c r="P238" s="24"/>
      <c r="Q238" s="24"/>
      <c r="R238" s="24"/>
      <c r="S238" s="24"/>
      <c r="T238" s="24"/>
      <c r="U238" s="24"/>
      <c r="V238" s="24"/>
      <c r="W238" s="24"/>
      <c r="X238" s="24"/>
      <c r="Y238" s="24"/>
      <c r="Z238" s="24"/>
      <c r="AA238" s="24"/>
      <c r="AB238" s="200"/>
      <c r="AC238" s="1"/>
      <c r="AD238" s="1"/>
      <c r="AE238" s="1"/>
      <c r="AF238" s="1"/>
      <c r="AG238" s="1"/>
      <c r="AH238" s="1"/>
      <c r="AI238" s="1"/>
      <c r="AJ238" s="1"/>
      <c r="AK238" s="1"/>
      <c r="AL238" s="1"/>
      <c r="AM238" s="1"/>
      <c r="AN238" s="1"/>
      <c r="AO238" s="1"/>
      <c r="AP238" s="1"/>
      <c r="AQ238" s="1"/>
      <c r="AR238" s="1"/>
      <c r="AS238" s="1"/>
      <c r="AT238" s="1"/>
      <c r="AU238" s="1"/>
      <c r="AV238" s="1"/>
      <c r="AW238" s="1"/>
      <c r="AX238" s="1"/>
      <c r="AY238" s="1"/>
    </row>
    <row r="239" spans="1:113">
      <c r="A239" s="201"/>
      <c r="B239" s="202"/>
      <c r="C239" s="202"/>
      <c r="D239" s="202"/>
      <c r="E239" s="202"/>
      <c r="F239" s="202"/>
      <c r="G239" s="202"/>
      <c r="H239" s="202"/>
      <c r="I239" s="202"/>
      <c r="J239" s="202"/>
      <c r="K239" s="202"/>
      <c r="L239" s="202"/>
      <c r="M239" s="202"/>
      <c r="N239" s="200"/>
      <c r="O239" s="199"/>
      <c r="P239" s="202"/>
      <c r="Q239" s="202"/>
      <c r="R239" s="202"/>
      <c r="S239" s="202"/>
      <c r="T239" s="202"/>
      <c r="U239" s="202"/>
      <c r="V239" s="202"/>
      <c r="W239" s="202"/>
      <c r="X239" s="202"/>
      <c r="Y239" s="202"/>
      <c r="Z239" s="202"/>
      <c r="AA239" s="202"/>
      <c r="AB239" s="203"/>
      <c r="AC239" s="1"/>
      <c r="AD239" s="1"/>
      <c r="AE239" s="1"/>
      <c r="AF239" s="1"/>
      <c r="AG239" s="1"/>
      <c r="AH239" s="1"/>
      <c r="AI239" s="1"/>
      <c r="AJ239" s="1"/>
      <c r="AK239" s="1"/>
      <c r="AL239" s="1"/>
      <c r="AM239" s="1"/>
      <c r="AN239" s="1"/>
      <c r="AO239" s="1"/>
      <c r="AP239" s="1"/>
      <c r="AQ239" s="1"/>
      <c r="AR239" s="1"/>
      <c r="AS239" s="1"/>
      <c r="AT239" s="1"/>
      <c r="AU239" s="1"/>
      <c r="AV239" s="1"/>
      <c r="AW239" s="1"/>
      <c r="AX239" s="1"/>
      <c r="AY239" s="1"/>
    </row>
    <row r="240" spans="1:113" ht="30" customHeight="1">
      <c r="A240" s="210" t="s">
        <v>1148</v>
      </c>
      <c r="B240" s="1307" t="s">
        <v>1271</v>
      </c>
      <c r="C240" s="1307"/>
      <c r="D240" s="1307"/>
      <c r="E240" s="1307"/>
      <c r="F240" s="1307"/>
      <c r="G240" s="1307"/>
      <c r="H240" s="1307"/>
      <c r="I240" s="1307"/>
      <c r="J240" s="1307"/>
      <c r="K240" s="1307"/>
      <c r="L240" s="1307"/>
      <c r="M240" s="1307"/>
      <c r="N240" s="211" t="s">
        <v>1149</v>
      </c>
      <c r="O240" s="210"/>
      <c r="P240" s="204"/>
      <c r="Q240" s="198"/>
      <c r="R240" s="198"/>
      <c r="S240" s="198"/>
      <c r="T240" s="198"/>
      <c r="U240" s="198"/>
      <c r="V240" s="198"/>
      <c r="W240" s="198"/>
      <c r="X240" s="198"/>
      <c r="Y240" s="198"/>
      <c r="Z240" s="198"/>
      <c r="AA240" s="198"/>
      <c r="AB240" s="211" t="s">
        <v>1149</v>
      </c>
      <c r="AC240" s="577"/>
      <c r="AD240" s="577"/>
      <c r="AE240" s="577"/>
      <c r="AF240" s="577"/>
      <c r="AG240" s="577"/>
      <c r="AH240" s="577"/>
      <c r="AI240" s="577"/>
      <c r="AJ240" s="577"/>
      <c r="AK240" s="577"/>
      <c r="AL240" s="577"/>
      <c r="AM240" s="577"/>
      <c r="AN240" s="577"/>
      <c r="AO240" s="577"/>
      <c r="AP240" s="577"/>
      <c r="AQ240" s="577"/>
      <c r="AR240" s="577"/>
      <c r="AS240" s="577"/>
      <c r="AT240" s="577"/>
      <c r="AU240" s="577"/>
      <c r="AV240" s="577"/>
      <c r="AW240" s="577"/>
      <c r="AX240" s="577"/>
      <c r="AY240" s="577"/>
    </row>
    <row r="241" spans="1:68" ht="10.050000000000001" customHeight="1">
      <c r="A241" s="199"/>
      <c r="B241" s="24"/>
      <c r="C241" s="24"/>
      <c r="D241" s="24"/>
      <c r="E241" s="24"/>
      <c r="F241" s="24"/>
      <c r="G241" s="24"/>
      <c r="H241" s="24"/>
      <c r="I241" s="24"/>
      <c r="J241" s="24"/>
      <c r="K241" s="24"/>
      <c r="L241" s="24"/>
      <c r="M241" s="24"/>
      <c r="N241" s="200"/>
      <c r="O241" s="199"/>
      <c r="P241" s="24"/>
      <c r="Q241" s="24"/>
      <c r="R241" s="24"/>
      <c r="S241" s="24"/>
      <c r="T241" s="24"/>
      <c r="U241" s="24"/>
      <c r="V241" s="24"/>
      <c r="W241" s="24"/>
      <c r="X241" s="24"/>
      <c r="Y241" s="24"/>
      <c r="Z241" s="24"/>
      <c r="AA241" s="24"/>
      <c r="AB241" s="200"/>
      <c r="AC241" s="1"/>
      <c r="AD241" s="1"/>
      <c r="AE241" s="1"/>
      <c r="AF241" s="1"/>
      <c r="AG241" s="1"/>
      <c r="AH241" s="1"/>
      <c r="AI241" s="1"/>
      <c r="AJ241" s="1"/>
      <c r="AK241" s="1"/>
      <c r="AL241" s="1"/>
      <c r="AM241" s="1"/>
      <c r="AN241" s="1"/>
      <c r="AO241" s="1"/>
      <c r="AP241" s="1"/>
      <c r="AQ241" s="1"/>
      <c r="AR241" s="1"/>
      <c r="AS241" s="1"/>
      <c r="AT241" s="1"/>
      <c r="AU241" s="1"/>
      <c r="AV241" s="1"/>
      <c r="AW241" s="1"/>
      <c r="AX241" s="1"/>
      <c r="AY241" s="1"/>
    </row>
    <row r="242" spans="1:68" ht="19.95" customHeight="1">
      <c r="A242" s="199"/>
      <c r="B242" s="588" t="s">
        <v>1272</v>
      </c>
      <c r="C242" s="397"/>
      <c r="D242" s="397"/>
      <c r="E242" s="397"/>
      <c r="F242" s="397"/>
      <c r="G242" s="397"/>
      <c r="H242" s="397"/>
      <c r="I242" s="397"/>
      <c r="J242" s="397"/>
      <c r="K242" s="397"/>
      <c r="L242" s="397"/>
      <c r="M242" s="397"/>
      <c r="N242" s="200"/>
      <c r="O242" s="199"/>
      <c r="P242" s="24"/>
      <c r="Q242" s="24"/>
      <c r="R242" s="24"/>
      <c r="S242" s="24"/>
      <c r="T242" s="24"/>
      <c r="U242" s="24"/>
      <c r="V242" s="24"/>
      <c r="W242" s="24"/>
      <c r="X242" s="24"/>
      <c r="Y242" s="24"/>
      <c r="Z242" s="24"/>
      <c r="AA242" s="24"/>
      <c r="AB242" s="200"/>
      <c r="AC242" s="1"/>
      <c r="AD242" s="1"/>
      <c r="AE242" s="1"/>
      <c r="AF242" s="1"/>
      <c r="AG242" s="1"/>
      <c r="AH242" s="1"/>
      <c r="AI242" s="1"/>
      <c r="AJ242" s="1"/>
      <c r="AK242" s="1"/>
      <c r="AL242" s="1"/>
      <c r="AM242" s="1"/>
      <c r="AN242" s="1"/>
      <c r="AO242" s="1"/>
      <c r="AP242" s="1"/>
      <c r="AQ242" s="1"/>
      <c r="AR242" s="1"/>
      <c r="AS242" s="1"/>
      <c r="AT242" s="1"/>
      <c r="AU242" s="1"/>
      <c r="AV242" s="1"/>
      <c r="AW242" s="1"/>
      <c r="AX242" s="1"/>
      <c r="AY242" s="1"/>
    </row>
    <row r="243" spans="1:68" ht="10.050000000000001" customHeight="1">
      <c r="A243" s="199"/>
      <c r="B243" s="397"/>
      <c r="C243" s="397"/>
      <c r="D243" s="397"/>
      <c r="E243" s="397"/>
      <c r="F243" s="397"/>
      <c r="G243" s="397"/>
      <c r="H243" s="397"/>
      <c r="I243" s="397"/>
      <c r="J243" s="397"/>
      <c r="K243" s="397"/>
      <c r="L243" s="397"/>
      <c r="M243" s="397"/>
      <c r="N243" s="200"/>
      <c r="O243" s="199"/>
      <c r="P243" s="24"/>
      <c r="Q243" s="24"/>
      <c r="R243" s="24"/>
      <c r="S243" s="24"/>
      <c r="T243" s="24"/>
      <c r="U243" s="24"/>
      <c r="V243" s="24"/>
      <c r="W243" s="24"/>
      <c r="X243" s="24"/>
      <c r="Y243" s="24"/>
      <c r="Z243" s="24"/>
      <c r="AA243" s="24"/>
      <c r="AB243" s="200"/>
      <c r="AC243" s="1"/>
      <c r="AD243" s="1"/>
      <c r="AE243" s="1"/>
      <c r="AF243" s="1"/>
      <c r="AG243" s="1"/>
      <c r="AH243" s="1"/>
      <c r="AI243" s="1"/>
      <c r="AJ243" s="1"/>
      <c r="AK243" s="1"/>
      <c r="AL243" s="1"/>
      <c r="AM243" s="1"/>
      <c r="AN243" s="1"/>
      <c r="AO243" s="1"/>
      <c r="AP243" s="1"/>
      <c r="AQ243" s="1"/>
      <c r="AR243" s="1"/>
      <c r="AS243" s="1"/>
      <c r="AT243" s="1"/>
      <c r="AU243" s="1"/>
      <c r="AV243" s="1"/>
      <c r="AW243" s="1"/>
      <c r="AX243" s="1"/>
      <c r="AY243" s="1"/>
    </row>
    <row r="244" spans="1:68" ht="19.95" customHeight="1">
      <c r="A244" s="199"/>
      <c r="B244" s="1277" t="str">
        <f>BF244</f>
        <v>Politics is largely a contest around generalizations. The immigration issue starts with the generalization of pitting soft borders against firm borders. Helping your client see beyond this overgeneralizing binary can free them from viewing the other political side as some mortal enemy.  You can help them see unresolved needs on all sides as the true foe.</v>
      </c>
      <c r="C244" s="1277"/>
      <c r="D244" s="1277"/>
      <c r="E244" s="1277"/>
      <c r="F244" s="1277"/>
      <c r="G244" s="1277"/>
      <c r="H244" s="1277"/>
      <c r="I244" s="1277"/>
      <c r="J244" s="1277"/>
      <c r="K244" s="1277"/>
      <c r="L244" s="1277"/>
      <c r="M244" s="1277"/>
      <c r="N244" s="200"/>
      <c r="O244" s="199"/>
      <c r="P244" s="24"/>
      <c r="Q244" s="24"/>
      <c r="R244" s="24"/>
      <c r="S244" s="24"/>
      <c r="T244" s="24"/>
      <c r="U244" s="24"/>
      <c r="V244" s="24"/>
      <c r="W244" s="24"/>
      <c r="X244" s="24"/>
      <c r="Y244" s="24"/>
      <c r="Z244" s="24"/>
      <c r="AA244" s="24"/>
      <c r="AB244" s="200"/>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BF244" s="459" t="str">
        <f>CONCATENATE(BH244,BI244,BJ244,BK244,BL244,BM244,BN244,BO244,BP244,BQ244)</f>
        <v>Politics is largely a contest around generalizations. The immigration issue starts with the generalization of pitting soft borders against firm borders. Helping your client see beyond this overgeneralizing binary can free them from viewing the other political side as some mortal enemy.  You can help them see unresolved needs on all sides as the true foe.</v>
      </c>
      <c r="BH244" s="409" t="s">
        <v>1615</v>
      </c>
      <c r="BI244" s="2" t="str">
        <f>IF(D1124=",","Each",CONCATENATE("The ",$D$1124))</f>
        <v>The immigration</v>
      </c>
      <c r="BJ244" s="409" t="s">
        <v>1616</v>
      </c>
      <c r="BK244" s="2" t="str">
        <f>IF($D$1124="","one side",$H$1122)</f>
        <v>soft borders</v>
      </c>
      <c r="BL244" s="409" t="s">
        <v>1614</v>
      </c>
      <c r="BM244" s="2" t="str">
        <f>IF($D$1124="","another",$I$1122)</f>
        <v>firm borders</v>
      </c>
      <c r="BN244" s="409" t="s">
        <v>1617</v>
      </c>
      <c r="BP244" s="465" t="s">
        <v>1618</v>
      </c>
    </row>
    <row r="245" spans="1:68" ht="19.95" customHeight="1">
      <c r="A245" s="199"/>
      <c r="B245" s="1277"/>
      <c r="C245" s="1277"/>
      <c r="D245" s="1277"/>
      <c r="E245" s="1277"/>
      <c r="F245" s="1277"/>
      <c r="G245" s="1277"/>
      <c r="H245" s="1277"/>
      <c r="I245" s="1277"/>
      <c r="J245" s="1277"/>
      <c r="K245" s="1277"/>
      <c r="L245" s="1277"/>
      <c r="M245" s="1277"/>
      <c r="N245" s="200"/>
      <c r="O245" s="199"/>
      <c r="P245" s="24"/>
      <c r="Q245" s="24"/>
      <c r="R245" s="24"/>
      <c r="S245" s="24"/>
      <c r="T245" s="24"/>
      <c r="U245" s="24"/>
      <c r="V245" s="24"/>
      <c r="W245" s="24"/>
      <c r="X245" s="24"/>
      <c r="Y245" s="24"/>
      <c r="Z245" s="24"/>
      <c r="AA245" s="24"/>
      <c r="AB245" s="200"/>
      <c r="AC245" s="1"/>
      <c r="AD245" s="1"/>
      <c r="AE245" s="1"/>
      <c r="AF245" s="1"/>
      <c r="AG245" s="1"/>
      <c r="AH245" s="1"/>
      <c r="AI245" s="1"/>
      <c r="AJ245" s="1"/>
      <c r="AK245" s="1"/>
      <c r="AL245" s="1"/>
      <c r="AM245" s="1"/>
      <c r="AN245" s="1"/>
      <c r="AO245" s="1"/>
      <c r="AP245" s="1"/>
      <c r="AQ245" s="1"/>
      <c r="AR245" s="1"/>
      <c r="AS245" s="1"/>
      <c r="AT245" s="1"/>
      <c r="AU245" s="1"/>
      <c r="AV245" s="1"/>
      <c r="AW245" s="1"/>
      <c r="AX245" s="1"/>
      <c r="AY245" s="1"/>
    </row>
    <row r="246" spans="1:68" ht="19.95" customHeight="1">
      <c r="A246" s="199"/>
      <c r="B246" s="1277"/>
      <c r="C246" s="1277"/>
      <c r="D246" s="1277"/>
      <c r="E246" s="1277"/>
      <c r="F246" s="1277"/>
      <c r="G246" s="1277"/>
      <c r="H246" s="1277"/>
      <c r="I246" s="1277"/>
      <c r="J246" s="1277"/>
      <c r="K246" s="1277"/>
      <c r="L246" s="1277"/>
      <c r="M246" s="1277"/>
      <c r="N246" s="200"/>
      <c r="O246" s="199"/>
      <c r="P246" s="24"/>
      <c r="Q246" s="24"/>
      <c r="R246" s="24"/>
      <c r="S246" s="24"/>
      <c r="T246" s="24"/>
      <c r="U246" s="24"/>
      <c r="V246" s="24"/>
      <c r="W246" s="24"/>
      <c r="X246" s="24"/>
      <c r="Y246" s="24"/>
      <c r="Z246" s="24"/>
      <c r="AA246" s="24"/>
      <c r="AB246" s="200"/>
      <c r="AC246" s="1"/>
      <c r="AD246" s="1"/>
      <c r="AE246" s="1"/>
      <c r="AF246" s="1"/>
      <c r="AG246" s="1"/>
      <c r="AH246" s="1"/>
      <c r="AI246" s="1"/>
      <c r="AJ246" s="1"/>
      <c r="AK246" s="1"/>
      <c r="AL246" s="1"/>
      <c r="AM246" s="1"/>
      <c r="AN246" s="1"/>
      <c r="AO246" s="1"/>
      <c r="AP246" s="1"/>
      <c r="AQ246" s="1"/>
      <c r="AR246" s="1"/>
      <c r="AS246" s="1"/>
      <c r="AT246" s="1"/>
      <c r="AU246" s="1"/>
      <c r="AV246" s="1"/>
      <c r="AW246" s="1"/>
      <c r="AX246" s="1"/>
      <c r="AY246" s="1"/>
    </row>
    <row r="247" spans="1:68" ht="19.95" customHeight="1">
      <c r="A247" s="199"/>
      <c r="B247" s="1277"/>
      <c r="C247" s="1277"/>
      <c r="D247" s="1277"/>
      <c r="E247" s="1277"/>
      <c r="F247" s="1277"/>
      <c r="G247" s="1277"/>
      <c r="H247" s="1277"/>
      <c r="I247" s="1277"/>
      <c r="J247" s="1277"/>
      <c r="K247" s="1277"/>
      <c r="L247" s="1277"/>
      <c r="M247" s="1277"/>
      <c r="N247" s="200"/>
      <c r="O247" s="199"/>
      <c r="P247" s="24"/>
      <c r="Q247" s="24"/>
      <c r="R247" s="24"/>
      <c r="S247" s="24"/>
      <c r="T247" s="24"/>
      <c r="U247" s="24"/>
      <c r="V247" s="24"/>
      <c r="W247" s="24"/>
      <c r="X247" s="24"/>
      <c r="Y247" s="24"/>
      <c r="Z247" s="24"/>
      <c r="AA247" s="24"/>
      <c r="AB247" s="200"/>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BF247" s="459" t="str">
        <f>IF(OR($I$1094=0,$B$1124=""),BH247,BF249)</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BH247" s="465" t="s">
        <v>2013</v>
      </c>
    </row>
    <row r="248" spans="1:68" ht="4.95" customHeight="1">
      <c r="A248" s="199"/>
      <c r="B248" s="24"/>
      <c r="C248" s="24"/>
      <c r="D248" s="24"/>
      <c r="E248" s="24"/>
      <c r="F248" s="24"/>
      <c r="G248" s="24"/>
      <c r="H248" s="24"/>
      <c r="I248" s="24"/>
      <c r="J248" s="24"/>
      <c r="K248" s="24"/>
      <c r="L248" s="24"/>
      <c r="M248" s="24"/>
      <c r="N248" s="200"/>
      <c r="O248" s="199"/>
      <c r="P248" s="24"/>
      <c r="Q248" s="24"/>
      <c r="R248" s="24"/>
      <c r="S248" s="24"/>
      <c r="T248" s="24"/>
      <c r="U248" s="24"/>
      <c r="V248" s="24"/>
      <c r="W248" s="24"/>
      <c r="X248" s="24"/>
      <c r="Y248" s="24"/>
      <c r="Z248" s="24"/>
      <c r="AA248" s="24"/>
      <c r="AB248" s="200"/>
      <c r="AC248" s="1"/>
      <c r="AD248" s="1"/>
      <c r="AE248" s="1"/>
      <c r="AF248" s="1"/>
      <c r="AG248" s="1"/>
      <c r="AH248" s="1"/>
      <c r="AI248" s="1"/>
      <c r="AJ248" s="1"/>
      <c r="AK248" s="1"/>
      <c r="AL248" s="1"/>
      <c r="AM248" s="1"/>
      <c r="AN248" s="1"/>
      <c r="AO248" s="1"/>
      <c r="AP248" s="1"/>
      <c r="AQ248" s="1"/>
      <c r="AR248" s="1"/>
      <c r="AS248" s="1"/>
      <c r="AT248" s="1"/>
      <c r="AU248" s="1"/>
      <c r="AV248" s="1"/>
      <c r="AW248" s="1"/>
      <c r="AX248" s="1"/>
      <c r="AY248" s="1"/>
    </row>
    <row r="249" spans="1:68" ht="19.95" customHeight="1">
      <c r="A249" s="199"/>
      <c r="B249" s="1277" t="str">
        <f>BF247</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C249" s="1277"/>
      <c r="D249" s="1277"/>
      <c r="E249" s="1277"/>
      <c r="F249" s="1277"/>
      <c r="G249" s="1277"/>
      <c r="H249" s="1277"/>
      <c r="I249" s="1277"/>
      <c r="J249" s="1277"/>
      <c r="K249" s="1277"/>
      <c r="L249" s="1277"/>
      <c r="M249" s="1277"/>
      <c r="N249" s="200"/>
      <c r="O249" s="199"/>
      <c r="P249" s="24"/>
      <c r="Q249" s="24"/>
      <c r="R249" s="24"/>
      <c r="S249" s="24"/>
      <c r="T249" s="24"/>
      <c r="U249" s="24"/>
      <c r="V249" s="24"/>
      <c r="W249" s="24"/>
      <c r="X249" s="24"/>
      <c r="Y249" s="24"/>
      <c r="Z249" s="24"/>
      <c r="AA249" s="24"/>
      <c r="AB249" s="200"/>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BF249" s="459" t="str">
        <f>CONCATENATE(BH249,BI249,BJ249,BK249,BL249,BM249,BN249,BO249,BP249,BG250,BH250,BI250,BJ250,BK250,BL250,BM250,BN250,BO250,BP250)</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BH249" s="467"/>
      <c r="BI249" s="2" t="str">
        <f>C1124</f>
        <v>Immigration</v>
      </c>
      <c r="BJ249" s="410" t="s">
        <v>1855</v>
      </c>
      <c r="BK249" s="2" t="str">
        <f>IF($H$101="","",$L$1122)</f>
        <v>easy entry</v>
      </c>
      <c r="BL249" s="409" t="s">
        <v>1614</v>
      </c>
      <c r="BM249" s="2" t="str">
        <f>IF($H$101="","",$M$1122)</f>
        <v>vetted entry</v>
      </c>
      <c r="BN249" s="409" t="s">
        <v>1841</v>
      </c>
      <c r="BO249" s="2" t="str">
        <f>$BI$207</f>
        <v>immigration</v>
      </c>
      <c r="BP249" s="466" t="s">
        <v>1619</v>
      </c>
    </row>
    <row r="250" spans="1:68" ht="19.95" customHeight="1">
      <c r="A250" s="199"/>
      <c r="B250" s="1277"/>
      <c r="C250" s="1277"/>
      <c r="D250" s="1277"/>
      <c r="E250" s="1277"/>
      <c r="F250" s="1277"/>
      <c r="G250" s="1277"/>
      <c r="H250" s="1277"/>
      <c r="I250" s="1277"/>
      <c r="J250" s="1277"/>
      <c r="K250" s="1277"/>
      <c r="L250" s="1277"/>
      <c r="M250" s="1277"/>
      <c r="N250" s="200"/>
      <c r="O250" s="199"/>
      <c r="P250" s="24"/>
      <c r="Q250" s="24"/>
      <c r="R250" s="24"/>
      <c r="S250" s="24"/>
      <c r="T250" s="24"/>
      <c r="U250" s="24"/>
      <c r="V250" s="24"/>
      <c r="W250" s="24"/>
      <c r="X250" s="24"/>
      <c r="Y250" s="24"/>
      <c r="Z250" s="24"/>
      <c r="AA250" s="24"/>
      <c r="AB250" s="200"/>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BG250" s="2" t="str">
        <f>IF($H$101="","",$P$1122)</f>
        <v>poor immigrants</v>
      </c>
      <c r="BH250" s="410" t="s">
        <v>1620</v>
      </c>
      <c r="BI250" s="2" t="str">
        <f>$BI$207</f>
        <v>immigration</v>
      </c>
      <c r="BJ250" s="410" t="s">
        <v>1619</v>
      </c>
      <c r="BK250" s="2" t="str">
        <f>IF($H$101="","",$Q$1122)</f>
        <v>U.S. citizens</v>
      </c>
      <c r="BL250" s="409" t="s">
        <v>1621</v>
      </c>
      <c r="BM250" s="2" t="str">
        <f>$BI$207</f>
        <v>immigration</v>
      </c>
      <c r="BN250" s="410" t="s">
        <v>1622</v>
      </c>
      <c r="BO250" s="2" t="str">
        <f>$BI$207</f>
        <v>immigration</v>
      </c>
      <c r="BP250" s="466" t="s">
        <v>1623</v>
      </c>
    </row>
    <row r="251" spans="1:68" ht="19.95" customHeight="1">
      <c r="A251" s="199"/>
      <c r="B251" s="1277"/>
      <c r="C251" s="1277"/>
      <c r="D251" s="1277"/>
      <c r="E251" s="1277"/>
      <c r="F251" s="1277"/>
      <c r="G251" s="1277"/>
      <c r="H251" s="1277"/>
      <c r="I251" s="1277"/>
      <c r="J251" s="1277"/>
      <c r="K251" s="1277"/>
      <c r="L251" s="1277"/>
      <c r="M251" s="1277"/>
      <c r="N251" s="200"/>
      <c r="O251" s="199"/>
      <c r="P251" s="24"/>
      <c r="Q251" s="24"/>
      <c r="R251" s="24"/>
      <c r="S251" s="24"/>
      <c r="T251" s="24"/>
      <c r="U251" s="24"/>
      <c r="V251" s="24"/>
      <c r="W251" s="24"/>
      <c r="X251" s="24"/>
      <c r="Y251" s="24"/>
      <c r="Z251" s="24"/>
      <c r="AA251" s="24"/>
      <c r="AB251" s="200"/>
      <c r="AC251" s="1"/>
      <c r="AD251" s="1"/>
      <c r="AE251" s="1"/>
      <c r="AF251" s="1"/>
      <c r="AG251" s="1"/>
      <c r="AH251" s="1"/>
      <c r="AI251" s="1"/>
      <c r="AJ251" s="1"/>
      <c r="AK251" s="1"/>
      <c r="AL251" s="1"/>
      <c r="AM251" s="1"/>
      <c r="AN251" s="1"/>
      <c r="AO251" s="1"/>
      <c r="AP251" s="1"/>
      <c r="AQ251" s="1"/>
      <c r="AR251" s="1"/>
      <c r="AS251" s="1"/>
      <c r="AT251" s="1"/>
      <c r="AU251" s="1"/>
      <c r="AV251" s="1"/>
      <c r="AW251" s="1"/>
      <c r="AX251" s="1"/>
      <c r="AY251" s="1"/>
    </row>
    <row r="252" spans="1:68" ht="19.95" customHeight="1">
      <c r="A252" s="199"/>
      <c r="B252" s="1277"/>
      <c r="C252" s="1277"/>
      <c r="D252" s="1277"/>
      <c r="E252" s="1277"/>
      <c r="F252" s="1277"/>
      <c r="G252" s="1277"/>
      <c r="H252" s="1277"/>
      <c r="I252" s="1277"/>
      <c r="J252" s="1277"/>
      <c r="K252" s="1277"/>
      <c r="L252" s="1277"/>
      <c r="M252" s="1277"/>
      <c r="N252" s="200"/>
      <c r="O252" s="199"/>
      <c r="P252" s="24"/>
      <c r="Q252" s="24"/>
      <c r="R252" s="24"/>
      <c r="S252" s="24"/>
      <c r="T252" s="24"/>
      <c r="U252" s="24"/>
      <c r="V252" s="24"/>
      <c r="W252" s="24"/>
      <c r="X252" s="24"/>
      <c r="Y252" s="24"/>
      <c r="Z252" s="24"/>
      <c r="AA252" s="24"/>
      <c r="AB252" s="200"/>
      <c r="AC252" s="1"/>
      <c r="AD252" s="1"/>
      <c r="AE252" s="1"/>
      <c r="AF252" s="1"/>
      <c r="AG252" s="1"/>
      <c r="AH252" s="1"/>
      <c r="AI252" s="1"/>
      <c r="AJ252" s="1"/>
      <c r="AK252" s="1"/>
      <c r="AL252" s="1"/>
      <c r="AM252" s="1"/>
      <c r="AN252" s="1"/>
      <c r="AO252" s="1"/>
      <c r="AP252" s="1"/>
      <c r="AQ252" s="1"/>
      <c r="AR252" s="1"/>
      <c r="AS252" s="1"/>
      <c r="AT252" s="1"/>
      <c r="AU252" s="1"/>
      <c r="AV252" s="1"/>
      <c r="AW252" s="1"/>
      <c r="AX252" s="1"/>
      <c r="AY252" s="1"/>
    </row>
    <row r="253" spans="1:68" ht="19.95" customHeight="1">
      <c r="A253" s="199"/>
      <c r="B253" s="1277"/>
      <c r="C253" s="1277"/>
      <c r="D253" s="1277"/>
      <c r="E253" s="1277"/>
      <c r="F253" s="1277"/>
      <c r="G253" s="1277"/>
      <c r="H253" s="1277"/>
      <c r="I253" s="1277"/>
      <c r="J253" s="1277"/>
      <c r="K253" s="1277"/>
      <c r="L253" s="1277"/>
      <c r="M253" s="1277"/>
      <c r="N253" s="200"/>
      <c r="O253" s="199"/>
      <c r="P253" s="24"/>
      <c r="Q253" s="24"/>
      <c r="R253" s="24"/>
      <c r="S253" s="24"/>
      <c r="T253" s="24"/>
      <c r="U253" s="24"/>
      <c r="V253" s="24"/>
      <c r="W253" s="24"/>
      <c r="X253" s="24"/>
      <c r="Y253" s="24"/>
      <c r="Z253" s="24"/>
      <c r="AA253" s="24"/>
      <c r="AB253" s="200"/>
      <c r="AC253" s="1"/>
      <c r="AD253" s="1"/>
      <c r="AE253" s="1"/>
      <c r="AF253" s="1"/>
      <c r="AG253" s="1"/>
      <c r="AH253" s="1"/>
      <c r="AI253" s="1"/>
      <c r="AJ253" s="1"/>
      <c r="AK253" s="1"/>
      <c r="AL253" s="1"/>
      <c r="AM253" s="1"/>
      <c r="AN253" s="1"/>
      <c r="AO253" s="1"/>
      <c r="AP253" s="1"/>
      <c r="AQ253" s="1"/>
      <c r="AR253" s="1"/>
      <c r="AS253" s="1"/>
      <c r="AT253" s="1"/>
      <c r="AU253" s="1"/>
      <c r="AV253" s="1"/>
      <c r="AW253" s="1"/>
      <c r="AX253" s="1"/>
      <c r="AY253" s="1"/>
    </row>
    <row r="254" spans="1:68" ht="19.95" customHeight="1">
      <c r="A254" s="199"/>
      <c r="B254" s="1277"/>
      <c r="C254" s="1277"/>
      <c r="D254" s="1277"/>
      <c r="E254" s="1277"/>
      <c r="F254" s="1277"/>
      <c r="G254" s="1277"/>
      <c r="H254" s="1277"/>
      <c r="I254" s="1277"/>
      <c r="J254" s="1277"/>
      <c r="K254" s="1277"/>
      <c r="L254" s="1277"/>
      <c r="M254" s="1277"/>
      <c r="N254" s="200"/>
      <c r="O254" s="199"/>
      <c r="P254" s="24"/>
      <c r="Q254" s="24"/>
      <c r="R254" s="24"/>
      <c r="S254" s="24"/>
      <c r="T254" s="24"/>
      <c r="U254" s="24"/>
      <c r="V254" s="24"/>
      <c r="W254" s="24"/>
      <c r="X254" s="24"/>
      <c r="Y254" s="24"/>
      <c r="Z254" s="24"/>
      <c r="AA254" s="24"/>
      <c r="AB254" s="200"/>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BF254" s="459" t="str">
        <f>IF(OR($I$1094=0,$B$1124=""),BH254,BF256)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BH254" s="465" t="s">
        <v>2014</v>
      </c>
    </row>
    <row r="255" spans="1:68" ht="4.95" customHeight="1">
      <c r="A255" s="199"/>
      <c r="B255" s="24"/>
      <c r="C255" s="24"/>
      <c r="D255" s="24"/>
      <c r="E255" s="24"/>
      <c r="F255" s="24"/>
      <c r="G255" s="24"/>
      <c r="H255" s="24"/>
      <c r="I255" s="24"/>
      <c r="J255" s="24"/>
      <c r="K255" s="24"/>
      <c r="L255" s="24"/>
      <c r="M255" s="24"/>
      <c r="N255" s="200"/>
      <c r="O255" s="199"/>
      <c r="P255" s="24"/>
      <c r="Q255" s="24"/>
      <c r="R255" s="24"/>
      <c r="S255" s="24"/>
      <c r="T255" s="24"/>
      <c r="U255" s="24"/>
      <c r="V255" s="24"/>
      <c r="W255" s="24"/>
      <c r="X255" s="24"/>
      <c r="Y255" s="24"/>
      <c r="Z255" s="24"/>
      <c r="AA255" s="24"/>
      <c r="AB255" s="200"/>
      <c r="AC255" s="1"/>
      <c r="AD255" s="1"/>
      <c r="AE255" s="1"/>
      <c r="AF255" s="1"/>
      <c r="AG255" s="1"/>
      <c r="AH255" s="1"/>
      <c r="AI255" s="1"/>
      <c r="AJ255" s="1"/>
      <c r="AK255" s="1"/>
      <c r="AL255" s="1"/>
      <c r="AM255" s="1"/>
      <c r="AN255" s="1"/>
      <c r="AO255" s="1"/>
      <c r="AP255" s="1"/>
      <c r="AQ255" s="1"/>
      <c r="AR255" s="1"/>
      <c r="AS255" s="1"/>
      <c r="AT255" s="1"/>
      <c r="AU255" s="1"/>
      <c r="AV255" s="1"/>
      <c r="AW255" s="1"/>
      <c r="AX255" s="1"/>
      <c r="AY255" s="1"/>
    </row>
    <row r="256" spans="1:68" ht="19.95" customHeight="1">
      <c r="A256" s="199"/>
      <c r="B256" s="1277" t="str">
        <f>BF256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C256" s="1277"/>
      <c r="D256" s="1277"/>
      <c r="E256" s="1277"/>
      <c r="F256" s="1277"/>
      <c r="G256" s="1277"/>
      <c r="H256" s="1277"/>
      <c r="I256" s="1277"/>
      <c r="J256" s="1277"/>
      <c r="K256" s="1277"/>
      <c r="L256" s="1277"/>
      <c r="M256" s="1277"/>
      <c r="N256" s="200"/>
      <c r="O256" s="199"/>
      <c r="P256" s="24"/>
      <c r="Q256" s="24"/>
      <c r="R256" s="24"/>
      <c r="S256" s="24"/>
      <c r="T256" s="24"/>
      <c r="U256" s="24"/>
      <c r="V256" s="24"/>
      <c r="W256" s="24"/>
      <c r="X256" s="24"/>
      <c r="Y256" s="24"/>
      <c r="Z256" s="24"/>
      <c r="AA256" s="24"/>
      <c r="AB256" s="200"/>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BF256" s="459" t="str">
        <f>CONCATENATE(BH256,BI256,BJ256,BK256,BL256,BM256,BN256,BO256,BP256,BQ256,BR256,BS256,BT256)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BH256" s="409" t="s">
        <v>1864</v>
      </c>
      <c r="BI256" s="2" t="str">
        <f>P1122</f>
        <v>poor immigrants</v>
      </c>
      <c r="BJ256" s="409" t="s">
        <v>1624</v>
      </c>
      <c r="BK256" s="2" t="str">
        <f>Q1122</f>
        <v>U.S. citizens</v>
      </c>
      <c r="BL256" s="409" t="s">
        <v>1625</v>
      </c>
      <c r="BM256" s="2" t="str">
        <f>BK256</f>
        <v>U.S. citizens</v>
      </c>
      <c r="BN256" s="409" t="s">
        <v>1624</v>
      </c>
      <c r="BO256" s="2" t="str">
        <f>BI256</f>
        <v>poor immigrants</v>
      </c>
      <c r="BP256" s="465" t="s">
        <v>1863</v>
      </c>
    </row>
    <row r="257" spans="1:66" ht="19.95" customHeight="1">
      <c r="A257" s="199"/>
      <c r="B257" s="1277"/>
      <c r="C257" s="1277"/>
      <c r="D257" s="1277"/>
      <c r="E257" s="1277"/>
      <c r="F257" s="1277"/>
      <c r="G257" s="1277"/>
      <c r="H257" s="1277"/>
      <c r="I257" s="1277"/>
      <c r="J257" s="1277"/>
      <c r="K257" s="1277"/>
      <c r="L257" s="1277"/>
      <c r="M257" s="1277"/>
      <c r="N257" s="200"/>
      <c r="O257" s="199"/>
      <c r="P257" s="24"/>
      <c r="Q257" s="24"/>
      <c r="R257" s="24"/>
      <c r="S257" s="24"/>
      <c r="T257" s="24"/>
      <c r="U257" s="24"/>
      <c r="V257" s="24"/>
      <c r="W257" s="24"/>
      <c r="X257" s="24"/>
      <c r="Y257" s="24"/>
      <c r="Z257" s="24"/>
      <c r="AA257" s="24"/>
      <c r="AB257" s="200"/>
      <c r="AC257" s="1"/>
      <c r="AD257" s="1"/>
      <c r="AE257" s="1"/>
      <c r="AF257" s="1"/>
      <c r="AG257" s="1"/>
      <c r="AH257" s="1"/>
      <c r="AI257" s="1"/>
      <c r="AJ257" s="1"/>
      <c r="AK257" s="1"/>
      <c r="AL257" s="1"/>
      <c r="AM257" s="1"/>
      <c r="AN257" s="1"/>
      <c r="AO257" s="1"/>
      <c r="AP257" s="1"/>
      <c r="AQ257" s="1"/>
      <c r="AR257" s="1"/>
      <c r="AS257" s="1"/>
      <c r="AT257" s="1"/>
      <c r="AU257" s="1"/>
      <c r="AV257" s="1"/>
      <c r="AW257" s="1"/>
      <c r="AX257" s="1"/>
      <c r="AY257" s="1"/>
    </row>
    <row r="258" spans="1:66" ht="19.95" customHeight="1">
      <c r="A258" s="199"/>
      <c r="B258" s="1277"/>
      <c r="C258" s="1277"/>
      <c r="D258" s="1277"/>
      <c r="E258" s="1277"/>
      <c r="F258" s="1277"/>
      <c r="G258" s="1277"/>
      <c r="H258" s="1277"/>
      <c r="I258" s="1277"/>
      <c r="J258" s="1277"/>
      <c r="K258" s="1277"/>
      <c r="L258" s="1277"/>
      <c r="M258" s="1277"/>
      <c r="N258" s="200"/>
      <c r="O258" s="199"/>
      <c r="P258" s="24"/>
      <c r="Q258" s="24"/>
      <c r="R258" s="24"/>
      <c r="S258" s="24"/>
      <c r="T258" s="24"/>
      <c r="U258" s="24"/>
      <c r="V258" s="24"/>
      <c r="W258" s="24"/>
      <c r="X258" s="24"/>
      <c r="Y258" s="24"/>
      <c r="Z258" s="24"/>
      <c r="AA258" s="24"/>
      <c r="AB258" s="200"/>
      <c r="AC258" s="1"/>
      <c r="AD258" s="1"/>
      <c r="AE258" s="1"/>
      <c r="AF258" s="1"/>
      <c r="AG258" s="1"/>
      <c r="AH258" s="1"/>
      <c r="AI258" s="1"/>
      <c r="AJ258" s="1"/>
      <c r="AK258" s="1"/>
      <c r="AL258" s="1"/>
      <c r="AM258" s="1"/>
      <c r="AN258" s="1"/>
      <c r="AO258" s="1"/>
      <c r="AP258" s="1"/>
      <c r="AQ258" s="1"/>
      <c r="AR258" s="1"/>
      <c r="AS258" s="1"/>
      <c r="AT258" s="1"/>
      <c r="AU258" s="1"/>
      <c r="AV258" s="1"/>
      <c r="AW258" s="1"/>
      <c r="AX258" s="1"/>
      <c r="AY258" s="1"/>
    </row>
    <row r="259" spans="1:66" ht="19.95" customHeight="1">
      <c r="A259" s="199"/>
      <c r="B259" s="1277"/>
      <c r="C259" s="1277"/>
      <c r="D259" s="1277"/>
      <c r="E259" s="1277"/>
      <c r="F259" s="1277"/>
      <c r="G259" s="1277"/>
      <c r="H259" s="1277"/>
      <c r="I259" s="1277"/>
      <c r="J259" s="1277"/>
      <c r="K259" s="1277"/>
      <c r="L259" s="1277"/>
      <c r="M259" s="1277"/>
      <c r="N259" s="200"/>
      <c r="O259" s="199"/>
      <c r="P259" s="24"/>
      <c r="Q259" s="24"/>
      <c r="R259" s="24"/>
      <c r="S259" s="24"/>
      <c r="T259" s="24"/>
      <c r="U259" s="24"/>
      <c r="V259" s="24"/>
      <c r="W259" s="24"/>
      <c r="X259" s="24"/>
      <c r="Y259" s="24"/>
      <c r="Z259" s="24"/>
      <c r="AA259" s="24"/>
      <c r="AB259" s="200"/>
      <c r="AC259" s="1"/>
      <c r="AD259" s="1"/>
      <c r="AE259" s="1"/>
      <c r="AF259" s="1"/>
      <c r="AG259" s="1"/>
      <c r="AH259" s="1"/>
      <c r="AI259" s="1"/>
      <c r="AJ259" s="1"/>
      <c r="AK259" s="1"/>
      <c r="AL259" s="1"/>
      <c r="AM259" s="1"/>
      <c r="AN259" s="1"/>
      <c r="AO259" s="1"/>
      <c r="AP259" s="1"/>
      <c r="AQ259" s="1"/>
      <c r="AR259" s="1"/>
      <c r="AS259" s="1"/>
      <c r="AT259" s="1"/>
      <c r="AU259" s="1"/>
      <c r="AV259" s="1"/>
      <c r="AW259" s="1"/>
      <c r="AX259" s="1"/>
      <c r="AY259" s="1"/>
    </row>
    <row r="260" spans="1:66" ht="19.95" customHeight="1">
      <c r="A260" s="199"/>
      <c r="B260" s="1277"/>
      <c r="C260" s="1277"/>
      <c r="D260" s="1277"/>
      <c r="E260" s="1277"/>
      <c r="F260" s="1277"/>
      <c r="G260" s="1277"/>
      <c r="H260" s="1277"/>
      <c r="I260" s="1277"/>
      <c r="J260" s="1277"/>
      <c r="K260" s="1277"/>
      <c r="L260" s="1277"/>
      <c r="M260" s="1277"/>
      <c r="N260" s="200"/>
      <c r="O260" s="199"/>
      <c r="P260" s="24"/>
      <c r="Q260" s="24"/>
      <c r="R260" s="24"/>
      <c r="S260" s="24"/>
      <c r="T260" s="24"/>
      <c r="U260" s="24"/>
      <c r="V260" s="24"/>
      <c r="W260" s="24"/>
      <c r="X260" s="24"/>
      <c r="Y260" s="24"/>
      <c r="Z260" s="24"/>
      <c r="AA260" s="24"/>
      <c r="AB260" s="200"/>
      <c r="AC260" s="1"/>
      <c r="AD260" s="1"/>
      <c r="AE260" s="1"/>
      <c r="AF260" s="1"/>
      <c r="AG260" s="1"/>
      <c r="AH260" s="1"/>
      <c r="AI260" s="1"/>
      <c r="AJ260" s="1"/>
      <c r="AK260" s="1"/>
      <c r="AL260" s="1"/>
      <c r="AM260" s="1"/>
      <c r="AN260" s="1"/>
      <c r="AO260" s="1"/>
      <c r="AP260" s="1"/>
      <c r="AQ260" s="1"/>
      <c r="AR260" s="1"/>
      <c r="AS260" s="1"/>
      <c r="AT260" s="1"/>
      <c r="AU260" s="1"/>
      <c r="AV260" s="1"/>
      <c r="AW260" s="1"/>
      <c r="AX260" s="1"/>
      <c r="AY260" s="1"/>
    </row>
    <row r="261" spans="1:66" ht="19.95" customHeight="1">
      <c r="A261" s="199"/>
      <c r="B261" s="1277"/>
      <c r="C261" s="1277"/>
      <c r="D261" s="1277"/>
      <c r="E261" s="1277"/>
      <c r="F261" s="1277"/>
      <c r="G261" s="1277"/>
      <c r="H261" s="1277"/>
      <c r="I261" s="1277"/>
      <c r="J261" s="1277"/>
      <c r="K261" s="1277"/>
      <c r="L261" s="1277"/>
      <c r="M261" s="1277"/>
      <c r="N261" s="200"/>
      <c r="O261" s="199"/>
      <c r="P261" s="24"/>
      <c r="Q261" s="24"/>
      <c r="R261" s="24"/>
      <c r="S261" s="24"/>
      <c r="T261" s="24"/>
      <c r="U261" s="24"/>
      <c r="V261" s="24"/>
      <c r="W261" s="24"/>
      <c r="X261" s="24"/>
      <c r="Y261" s="24"/>
      <c r="Z261" s="24"/>
      <c r="AA261" s="24"/>
      <c r="AB261" s="200"/>
      <c r="AC261" s="1"/>
      <c r="AD261" s="1"/>
      <c r="AE261" s="1"/>
      <c r="AF261" s="1"/>
      <c r="AG261" s="1"/>
      <c r="AH261" s="1"/>
      <c r="AI261" s="1"/>
      <c r="AJ261" s="1"/>
      <c r="AK261" s="1"/>
      <c r="AL261" s="1"/>
      <c r="AM261" s="1"/>
      <c r="AN261" s="1"/>
      <c r="AO261" s="1"/>
      <c r="AP261" s="1"/>
      <c r="AQ261" s="1"/>
      <c r="AR261" s="1"/>
      <c r="AS261" s="1"/>
      <c r="AT261" s="1"/>
      <c r="AU261" s="1"/>
      <c r="AV261" s="1"/>
      <c r="AW261" s="1"/>
      <c r="AX261" s="1"/>
      <c r="AY261" s="1"/>
    </row>
    <row r="262" spans="1:66" ht="19.95" customHeight="1">
      <c r="A262" s="199"/>
      <c r="B262" s="1277"/>
      <c r="C262" s="1277"/>
      <c r="D262" s="1277"/>
      <c r="E262" s="1277"/>
      <c r="F262" s="1277"/>
      <c r="G262" s="1277"/>
      <c r="H262" s="1277"/>
      <c r="I262" s="1277"/>
      <c r="J262" s="1277"/>
      <c r="K262" s="1277"/>
      <c r="L262" s="1277"/>
      <c r="M262" s="1277"/>
      <c r="N262" s="200"/>
      <c r="O262" s="199"/>
      <c r="P262" s="24"/>
      <c r="Q262" s="24"/>
      <c r="R262" s="24"/>
      <c r="S262" s="24"/>
      <c r="T262" s="24"/>
      <c r="U262" s="24"/>
      <c r="V262" s="24"/>
      <c r="W262" s="24"/>
      <c r="X262" s="24"/>
      <c r="Y262" s="24"/>
      <c r="Z262" s="24"/>
      <c r="AA262" s="24"/>
      <c r="AB262" s="200"/>
      <c r="AC262" s="1"/>
      <c r="AD262" s="1"/>
      <c r="AE262" s="1"/>
      <c r="AF262" s="1"/>
      <c r="AG262" s="1"/>
      <c r="AH262" s="1"/>
      <c r="AI262" s="1"/>
      <c r="AJ262" s="1"/>
      <c r="AK262" s="1"/>
      <c r="AL262" s="1"/>
      <c r="AM262" s="1"/>
      <c r="AN262" s="1"/>
      <c r="AO262" s="1"/>
      <c r="AP262" s="1"/>
      <c r="AQ262" s="1"/>
      <c r="AR262" s="1"/>
      <c r="AS262" s="1"/>
      <c r="AT262" s="1"/>
      <c r="AU262" s="1"/>
      <c r="AV262" s="1"/>
      <c r="AW262" s="1"/>
      <c r="AX262" s="1"/>
      <c r="AY262" s="1"/>
    </row>
    <row r="263" spans="1:66" ht="19.95" customHeight="1">
      <c r="A263" s="199"/>
      <c r="B263" s="1277"/>
      <c r="C263" s="1277"/>
      <c r="D263" s="1277"/>
      <c r="E263" s="1277"/>
      <c r="F263" s="1277"/>
      <c r="G263" s="1277"/>
      <c r="H263" s="1277"/>
      <c r="I263" s="1277"/>
      <c r="J263" s="1277"/>
      <c r="K263" s="1277"/>
      <c r="L263" s="1277"/>
      <c r="M263" s="1277"/>
      <c r="N263" s="200"/>
      <c r="O263" s="199"/>
      <c r="P263" s="24"/>
      <c r="Q263" s="24"/>
      <c r="R263" s="24"/>
      <c r="S263" s="24"/>
      <c r="T263" s="24"/>
      <c r="U263" s="24"/>
      <c r="V263" s="24"/>
      <c r="W263" s="24"/>
      <c r="X263" s="24"/>
      <c r="Y263" s="24"/>
      <c r="Z263" s="24"/>
      <c r="AA263" s="24"/>
      <c r="AB263" s="200"/>
      <c r="AC263" s="1"/>
      <c r="AD263" s="1"/>
      <c r="AE263" s="1"/>
      <c r="AF263" s="1"/>
      <c r="AG263" s="1"/>
      <c r="AH263" s="1"/>
      <c r="AI263" s="1"/>
      <c r="AJ263" s="1"/>
      <c r="AK263" s="1"/>
      <c r="AL263" s="1"/>
      <c r="AM263" s="1"/>
      <c r="AN263" s="1"/>
      <c r="AO263" s="1"/>
      <c r="AP263" s="1"/>
      <c r="AQ263" s="1"/>
      <c r="AR263" s="1"/>
      <c r="AS263" s="1"/>
      <c r="AT263" s="1"/>
      <c r="AU263" s="1"/>
      <c r="AV263" s="1"/>
      <c r="AW263" s="1"/>
      <c r="AX263" s="1"/>
      <c r="AY263" s="1"/>
    </row>
    <row r="264" spans="1:66" ht="19.95" customHeight="1">
      <c r="A264" s="199"/>
      <c r="B264" s="1277"/>
      <c r="C264" s="1277"/>
      <c r="D264" s="1277"/>
      <c r="E264" s="1277"/>
      <c r="F264" s="1277"/>
      <c r="G264" s="1277"/>
      <c r="H264" s="1277"/>
      <c r="I264" s="1277"/>
      <c r="J264" s="1277"/>
      <c r="K264" s="1277"/>
      <c r="L264" s="1277"/>
      <c r="M264" s="1277"/>
      <c r="N264" s="200"/>
      <c r="O264" s="199"/>
      <c r="P264" s="24"/>
      <c r="Q264" s="24"/>
      <c r="R264" s="24"/>
      <c r="S264" s="24"/>
      <c r="T264" s="24"/>
      <c r="U264" s="24"/>
      <c r="V264" s="24"/>
      <c r="W264" s="24"/>
      <c r="X264" s="24"/>
      <c r="Y264" s="24"/>
      <c r="Z264" s="24"/>
      <c r="AA264" s="24"/>
      <c r="AB264" s="200"/>
      <c r="AC264" s="1"/>
      <c r="AD264" s="1"/>
      <c r="AE264" s="1"/>
      <c r="AF264" s="1"/>
      <c r="AG264" s="1"/>
      <c r="AH264" s="1"/>
      <c r="AI264" s="1"/>
      <c r="AJ264" s="1"/>
      <c r="AK264" s="1"/>
      <c r="AL264" s="1"/>
      <c r="AM264" s="1"/>
      <c r="AN264" s="1"/>
      <c r="AO264" s="1"/>
      <c r="AP264" s="1"/>
      <c r="AQ264" s="1"/>
      <c r="AR264" s="1"/>
      <c r="AS264" s="1"/>
      <c r="AT264" s="1"/>
      <c r="AU264" s="1"/>
      <c r="AV264" s="1"/>
      <c r="AW264" s="1"/>
      <c r="AX264" s="1"/>
      <c r="AY264" s="1"/>
    </row>
    <row r="265" spans="1:66" ht="19.95" customHeight="1">
      <c r="A265" s="199"/>
      <c r="B265" s="1277"/>
      <c r="C265" s="1277"/>
      <c r="D265" s="1277"/>
      <c r="E265" s="1277"/>
      <c r="F265" s="1277"/>
      <c r="G265" s="1277"/>
      <c r="H265" s="1277"/>
      <c r="I265" s="1277"/>
      <c r="J265" s="1277"/>
      <c r="K265" s="1277"/>
      <c r="L265" s="1277"/>
      <c r="M265" s="1277"/>
      <c r="N265" s="200"/>
      <c r="O265" s="199"/>
      <c r="P265" s="24"/>
      <c r="Q265" s="24"/>
      <c r="R265" s="24"/>
      <c r="S265" s="24"/>
      <c r="T265" s="24"/>
      <c r="U265" s="24"/>
      <c r="V265" s="24"/>
      <c r="W265" s="24"/>
      <c r="X265" s="24"/>
      <c r="Y265" s="24"/>
      <c r="Z265" s="24"/>
      <c r="AA265" s="24"/>
      <c r="AB265" s="200"/>
      <c r="AC265" s="1"/>
      <c r="AD265" s="1"/>
      <c r="AE265" s="1"/>
      <c r="AF265" s="1"/>
      <c r="AG265" s="1"/>
      <c r="AH265" s="1"/>
      <c r="AI265" s="1"/>
      <c r="AJ265" s="1"/>
      <c r="AK265" s="1"/>
      <c r="AL265" s="1"/>
      <c r="AM265" s="1"/>
      <c r="AN265" s="1"/>
      <c r="AO265" s="1"/>
      <c r="AP265" s="1"/>
      <c r="AQ265" s="1"/>
      <c r="AR265" s="1"/>
      <c r="AS265" s="1"/>
      <c r="AT265" s="1"/>
      <c r="AU265" s="1"/>
      <c r="AV265" s="1"/>
      <c r="AW265" s="1"/>
      <c r="AX265" s="1"/>
      <c r="AY265" s="1"/>
    </row>
    <row r="266" spans="1:66" ht="19.95" customHeight="1">
      <c r="A266" s="199"/>
      <c r="B266" s="1277"/>
      <c r="C266" s="1277"/>
      <c r="D266" s="1277"/>
      <c r="E266" s="1277"/>
      <c r="F266" s="1277"/>
      <c r="G266" s="1277"/>
      <c r="H266" s="1277"/>
      <c r="I266" s="1277"/>
      <c r="J266" s="1277"/>
      <c r="K266" s="1277"/>
      <c r="L266" s="1277"/>
      <c r="M266" s="1277"/>
      <c r="N266" s="200"/>
      <c r="O266" s="199"/>
      <c r="P266" s="24"/>
      <c r="Q266" s="24"/>
      <c r="R266" s="24"/>
      <c r="S266" s="24"/>
      <c r="T266" s="24"/>
      <c r="U266" s="24"/>
      <c r="V266" s="24"/>
      <c r="W266" s="24"/>
      <c r="X266" s="24"/>
      <c r="Y266" s="24"/>
      <c r="Z266" s="24"/>
      <c r="AA266" s="24"/>
      <c r="AB266" s="200"/>
      <c r="AC266" s="1"/>
      <c r="AD266" s="1"/>
      <c r="AE266" s="1"/>
      <c r="AF266" s="1"/>
      <c r="AG266" s="1"/>
      <c r="AH266" s="1"/>
      <c r="AI266" s="1"/>
      <c r="AJ266" s="1"/>
      <c r="AK266" s="1"/>
      <c r="AL266" s="1"/>
      <c r="AM266" s="1"/>
      <c r="AN266" s="1"/>
      <c r="AO266" s="1"/>
      <c r="AP266" s="1"/>
      <c r="AQ266" s="1"/>
      <c r="AR266" s="1"/>
      <c r="AS266" s="1"/>
      <c r="AT266" s="1"/>
      <c r="AU266" s="1"/>
      <c r="AV266" s="1"/>
      <c r="AW266" s="1"/>
      <c r="AX266" s="1"/>
      <c r="AY266" s="1"/>
    </row>
    <row r="267" spans="1:66" ht="19.95" customHeight="1">
      <c r="A267" s="199"/>
      <c r="B267" s="1277"/>
      <c r="C267" s="1277"/>
      <c r="D267" s="1277"/>
      <c r="E267" s="1277"/>
      <c r="F267" s="1277"/>
      <c r="G267" s="1277"/>
      <c r="H267" s="1277"/>
      <c r="I267" s="1277"/>
      <c r="J267" s="1277"/>
      <c r="K267" s="1277"/>
      <c r="L267" s="1277"/>
      <c r="M267" s="1277"/>
      <c r="N267" s="200"/>
      <c r="O267" s="199"/>
      <c r="P267" s="24"/>
      <c r="Q267" s="24"/>
      <c r="R267" s="24"/>
      <c r="S267" s="24"/>
      <c r="T267" s="24"/>
      <c r="U267" s="24"/>
      <c r="V267" s="24"/>
      <c r="W267" s="24"/>
      <c r="X267" s="24"/>
      <c r="Y267" s="24"/>
      <c r="Z267" s="24"/>
      <c r="AA267" s="24"/>
      <c r="AB267" s="200"/>
      <c r="AC267" s="1"/>
      <c r="AD267" s="1"/>
      <c r="AE267" s="1"/>
      <c r="AF267" s="1"/>
      <c r="AG267" s="1"/>
      <c r="AH267" s="1"/>
      <c r="AI267" s="1"/>
      <c r="AJ267" s="1"/>
      <c r="AK267" s="1"/>
      <c r="AL267" s="1"/>
      <c r="AM267" s="1"/>
      <c r="AN267" s="1"/>
      <c r="AO267" s="1"/>
      <c r="AP267" s="1"/>
      <c r="AQ267" s="1"/>
      <c r="AR267" s="1"/>
      <c r="AS267" s="1"/>
      <c r="AT267" s="1"/>
      <c r="AU267" s="1"/>
      <c r="AV267" s="1"/>
      <c r="AW267" s="1"/>
      <c r="AX267" s="1"/>
      <c r="AY267" s="1"/>
    </row>
    <row r="268" spans="1:66" ht="19.95" customHeight="1">
      <c r="A268" s="199"/>
      <c r="B268" s="1277"/>
      <c r="C268" s="1277"/>
      <c r="D268" s="1277"/>
      <c r="E268" s="1277"/>
      <c r="F268" s="1277"/>
      <c r="G268" s="1277"/>
      <c r="H268" s="1277"/>
      <c r="I268" s="1277"/>
      <c r="J268" s="1277"/>
      <c r="K268" s="1277"/>
      <c r="L268" s="1277"/>
      <c r="M268" s="1277"/>
      <c r="N268" s="200"/>
      <c r="O268" s="199"/>
      <c r="P268" s="24"/>
      <c r="Q268" s="24"/>
      <c r="R268" s="24"/>
      <c r="S268" s="24"/>
      <c r="T268" s="24"/>
      <c r="U268" s="24"/>
      <c r="V268" s="24"/>
      <c r="W268" s="24"/>
      <c r="X268" s="24"/>
      <c r="Y268" s="24"/>
      <c r="Z268" s="24"/>
      <c r="AA268" s="24"/>
      <c r="AB268" s="200"/>
      <c r="AC268" s="1"/>
      <c r="AD268" s="1"/>
      <c r="AE268" s="1"/>
      <c r="AF268" s="1"/>
      <c r="AG268" s="1"/>
      <c r="AH268" s="1"/>
      <c r="AI268" s="1"/>
      <c r="AJ268" s="1"/>
      <c r="AK268" s="1"/>
      <c r="AL268" s="1"/>
      <c r="AM268" s="1"/>
      <c r="AN268" s="1"/>
      <c r="AO268" s="1"/>
      <c r="AP268" s="1"/>
      <c r="AQ268" s="1"/>
      <c r="AR268" s="1"/>
      <c r="AS268" s="1"/>
      <c r="AT268" s="1"/>
      <c r="AU268" s="1"/>
      <c r="AV268" s="1"/>
      <c r="AW268" s="1"/>
      <c r="AX268" s="1"/>
      <c r="AY268" s="1"/>
    </row>
    <row r="269" spans="1:66" ht="4.95" customHeight="1">
      <c r="A269" s="199"/>
      <c r="B269" s="24"/>
      <c r="C269" s="24"/>
      <c r="D269" s="24"/>
      <c r="E269" s="24"/>
      <c r="F269" s="24"/>
      <c r="G269" s="24"/>
      <c r="H269" s="24"/>
      <c r="I269" s="24"/>
      <c r="J269" s="24"/>
      <c r="K269" s="24"/>
      <c r="L269" s="24"/>
      <c r="M269" s="24"/>
      <c r="N269" s="200"/>
      <c r="O269" s="199"/>
      <c r="P269" s="24"/>
      <c r="Q269" s="24"/>
      <c r="R269" s="24"/>
      <c r="S269" s="24"/>
      <c r="T269" s="24"/>
      <c r="U269" s="24"/>
      <c r="V269" s="24"/>
      <c r="W269" s="24"/>
      <c r="X269" s="24"/>
      <c r="Y269" s="24"/>
      <c r="Z269" s="24"/>
      <c r="AA269" s="24"/>
      <c r="AB269" s="200"/>
      <c r="AC269" s="1"/>
      <c r="AD269" s="1"/>
      <c r="AE269" s="1"/>
      <c r="AF269" s="1"/>
      <c r="AG269" s="1"/>
      <c r="AH269" s="1"/>
      <c r="AI269" s="1"/>
      <c r="AJ269" s="1"/>
      <c r="AK269" s="1"/>
      <c r="AL269" s="1"/>
      <c r="AM269" s="1"/>
      <c r="AN269" s="1"/>
      <c r="AO269" s="1"/>
      <c r="AP269" s="1"/>
      <c r="AQ269" s="1"/>
      <c r="AR269" s="1"/>
      <c r="AS269" s="1"/>
      <c r="AT269" s="1"/>
      <c r="AU269" s="1"/>
      <c r="AV269" s="1"/>
      <c r="AW269" s="1"/>
      <c r="AX269" s="1"/>
      <c r="AY269" s="1"/>
    </row>
    <row r="270" spans="1:66" ht="19.95" customHeight="1">
      <c r="A270" s="199"/>
      <c r="B270" s="1277" t="str">
        <f>BF270</f>
        <v xml:space="preserve">Our challenge, as helping professionals, is to help each individual resolve their needs in sync with others resolving theirs. That requires letting go of each other's pain-relieving generalizations. To turn opposing political views on immigration into specific steps for resolving immigration-related needs, starting with your client's immigration-related needs. Welcome to Harmony Politics, the antidote to the divisiveness of popular politics. And a free tool for you to retain your ideologically diverse clients.
</v>
      </c>
      <c r="C270" s="1277"/>
      <c r="D270" s="1277"/>
      <c r="E270" s="1277"/>
      <c r="F270" s="1277"/>
      <c r="G270" s="1277"/>
      <c r="H270" s="1277"/>
      <c r="I270" s="1277"/>
      <c r="J270" s="1277"/>
      <c r="K270" s="1277"/>
      <c r="L270" s="1277"/>
      <c r="M270" s="1277"/>
      <c r="N270" s="200"/>
      <c r="O270" s="199"/>
      <c r="P270" s="24"/>
      <c r="Q270" s="24"/>
      <c r="R270" s="24"/>
      <c r="S270" s="24"/>
      <c r="T270" s="24"/>
      <c r="U270" s="24"/>
      <c r="V270" s="24"/>
      <c r="W270" s="24"/>
      <c r="X270" s="24"/>
      <c r="Y270" s="24"/>
      <c r="Z270" s="24"/>
      <c r="AA270" s="24"/>
      <c r="AB270" s="200"/>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BF270" s="459" t="str">
        <f>CONCATENATE(BH270,BI270,BJ270,BK270,BL270,BM270,BN270,BO270)</f>
        <v xml:space="preserve">Our challenge, as helping professionals, is to help each individual resolve their needs in sync with others resolving theirs. That requires letting go of each other's pain-relieving generalizations. To turn opposing political views on immigration into specific steps for resolving immigration-related needs, starting with your client's immigration-related needs. Welcome to Harmony Politics, the antidote to the divisiveness of popular politics. And a free tool for you to retain your ideologically diverse clients.
</v>
      </c>
      <c r="BH270" s="409" t="s">
        <v>1626</v>
      </c>
      <c r="BI270" s="2" t="str">
        <f>IF($D$1124="","an issue",$D$1124)</f>
        <v>immigration</v>
      </c>
      <c r="BJ270" s="409" t="s">
        <v>1627</v>
      </c>
      <c r="BK270" s="2" t="str">
        <f>IF($D$1124="","politically",$D$1124)</f>
        <v>immigration</v>
      </c>
      <c r="BL270" s="410" t="s">
        <v>1628</v>
      </c>
      <c r="BM270" s="2" t="str">
        <f>IF($D$1124="","politically",$D$1124)</f>
        <v>immigration</v>
      </c>
      <c r="BN270" s="466" t="s">
        <v>1629</v>
      </c>
    </row>
    <row r="271" spans="1:66" ht="19.95" customHeight="1">
      <c r="A271" s="199"/>
      <c r="B271" s="1277"/>
      <c r="C271" s="1277"/>
      <c r="D271" s="1277"/>
      <c r="E271" s="1277"/>
      <c r="F271" s="1277"/>
      <c r="G271" s="1277"/>
      <c r="H271" s="1277"/>
      <c r="I271" s="1277"/>
      <c r="J271" s="1277"/>
      <c r="K271" s="1277"/>
      <c r="L271" s="1277"/>
      <c r="M271" s="1277"/>
      <c r="N271" s="200"/>
      <c r="O271" s="199"/>
      <c r="P271" s="24"/>
      <c r="Q271" s="24"/>
      <c r="R271" s="24"/>
      <c r="S271" s="24"/>
      <c r="T271" s="24"/>
      <c r="U271" s="24"/>
      <c r="V271" s="24"/>
      <c r="W271" s="24"/>
      <c r="X271" s="24"/>
      <c r="Y271" s="24"/>
      <c r="Z271" s="24"/>
      <c r="AA271" s="24"/>
      <c r="AB271" s="200"/>
      <c r="AC271" s="1"/>
      <c r="AD271" s="1"/>
      <c r="AE271" s="1"/>
      <c r="AF271" s="1"/>
      <c r="AG271" s="1"/>
      <c r="AH271" s="1"/>
      <c r="AI271" s="1"/>
      <c r="AJ271" s="1"/>
      <c r="AK271" s="1"/>
      <c r="AL271" s="1"/>
      <c r="AM271" s="1"/>
      <c r="AN271" s="1"/>
      <c r="AO271" s="1"/>
      <c r="AP271" s="1"/>
      <c r="AQ271" s="1"/>
      <c r="AR271" s="1"/>
      <c r="AS271" s="1"/>
      <c r="AT271" s="1"/>
      <c r="AU271" s="1"/>
      <c r="AV271" s="1"/>
      <c r="AW271" s="1"/>
      <c r="AX271" s="1"/>
      <c r="AY271" s="1"/>
    </row>
    <row r="272" spans="1:66" ht="19.95" customHeight="1">
      <c r="A272" s="199"/>
      <c r="B272" s="1277"/>
      <c r="C272" s="1277"/>
      <c r="D272" s="1277"/>
      <c r="E272" s="1277"/>
      <c r="F272" s="1277"/>
      <c r="G272" s="1277"/>
      <c r="H272" s="1277"/>
      <c r="I272" s="1277"/>
      <c r="J272" s="1277"/>
      <c r="K272" s="1277"/>
      <c r="L272" s="1277"/>
      <c r="M272" s="1277"/>
      <c r="N272" s="200"/>
      <c r="O272" s="199"/>
      <c r="P272" s="24"/>
      <c r="Q272" s="24"/>
      <c r="R272" s="24"/>
      <c r="S272" s="24"/>
      <c r="T272" s="24"/>
      <c r="U272" s="24"/>
      <c r="V272" s="24"/>
      <c r="W272" s="24"/>
      <c r="X272" s="24"/>
      <c r="Y272" s="24"/>
      <c r="Z272" s="24"/>
      <c r="AA272" s="24"/>
      <c r="AB272" s="200"/>
      <c r="AC272" s="1"/>
      <c r="AD272" s="1"/>
      <c r="AE272" s="1"/>
      <c r="AF272" s="1"/>
      <c r="AG272" s="1"/>
      <c r="AH272" s="1"/>
      <c r="AI272" s="1"/>
      <c r="AJ272" s="1"/>
      <c r="AK272" s="1"/>
      <c r="AL272" s="1"/>
      <c r="AM272" s="1"/>
      <c r="AN272" s="1"/>
      <c r="AO272" s="1"/>
      <c r="AP272" s="1"/>
      <c r="AQ272" s="1"/>
      <c r="AR272" s="1"/>
      <c r="AS272" s="1"/>
      <c r="AT272" s="1"/>
      <c r="AU272" s="1"/>
      <c r="AV272" s="1"/>
      <c r="AW272" s="1"/>
      <c r="AX272" s="1"/>
      <c r="AY272" s="1"/>
    </row>
    <row r="273" spans="1:51" ht="19.95" customHeight="1">
      <c r="A273" s="199"/>
      <c r="B273" s="1277"/>
      <c r="C273" s="1277"/>
      <c r="D273" s="1277"/>
      <c r="E273" s="1277"/>
      <c r="F273" s="1277"/>
      <c r="G273" s="1277"/>
      <c r="H273" s="1277"/>
      <c r="I273" s="1277"/>
      <c r="J273" s="1277"/>
      <c r="K273" s="1277"/>
      <c r="L273" s="1277"/>
      <c r="M273" s="1277"/>
      <c r="N273" s="200"/>
      <c r="O273" s="199"/>
      <c r="P273" s="24"/>
      <c r="Q273" s="24"/>
      <c r="R273" s="24"/>
      <c r="S273" s="24"/>
      <c r="T273" s="24"/>
      <c r="U273" s="24"/>
      <c r="V273" s="24"/>
      <c r="W273" s="24"/>
      <c r="X273" s="24"/>
      <c r="Y273" s="24"/>
      <c r="Z273" s="24"/>
      <c r="AA273" s="24"/>
      <c r="AB273" s="200"/>
      <c r="AC273" s="1"/>
      <c r="AD273" s="1"/>
      <c r="AE273" s="1"/>
      <c r="AF273" s="1"/>
      <c r="AG273" s="1"/>
      <c r="AH273" s="1"/>
      <c r="AI273" s="1"/>
      <c r="AJ273" s="1"/>
      <c r="AK273" s="1"/>
      <c r="AL273" s="1"/>
      <c r="AM273" s="1"/>
      <c r="AN273" s="1"/>
      <c r="AO273" s="1"/>
      <c r="AP273" s="1"/>
      <c r="AQ273" s="1"/>
      <c r="AR273" s="1"/>
      <c r="AS273" s="1"/>
      <c r="AT273" s="1"/>
      <c r="AU273" s="1"/>
      <c r="AV273" s="1"/>
      <c r="AW273" s="1"/>
      <c r="AX273" s="1"/>
      <c r="AY273" s="1"/>
    </row>
    <row r="274" spans="1:51" ht="19.95" customHeight="1">
      <c r="A274" s="199"/>
      <c r="B274" s="1277"/>
      <c r="C274" s="1277"/>
      <c r="D274" s="1277"/>
      <c r="E274" s="1277"/>
      <c r="F274" s="1277"/>
      <c r="G274" s="1277"/>
      <c r="H274" s="1277"/>
      <c r="I274" s="1277"/>
      <c r="J274" s="1277"/>
      <c r="K274" s="1277"/>
      <c r="L274" s="1277"/>
      <c r="M274" s="1277"/>
      <c r="N274" s="200"/>
      <c r="O274" s="199"/>
      <c r="P274" s="24"/>
      <c r="Q274" s="24"/>
      <c r="R274" s="24"/>
      <c r="S274" s="24"/>
      <c r="T274" s="24"/>
      <c r="U274" s="24"/>
      <c r="V274" s="24"/>
      <c r="W274" s="24"/>
      <c r="X274" s="24"/>
      <c r="Y274" s="24"/>
      <c r="Z274" s="24"/>
      <c r="AA274" s="24"/>
      <c r="AB274" s="200"/>
      <c r="AC274" s="1"/>
      <c r="AD274" s="1"/>
      <c r="AE274" s="1"/>
      <c r="AF274" s="1"/>
      <c r="AG274" s="1"/>
      <c r="AH274" s="1"/>
      <c r="AI274" s="1"/>
      <c r="AJ274" s="1"/>
      <c r="AK274" s="1"/>
      <c r="AL274" s="1"/>
      <c r="AM274" s="1"/>
      <c r="AN274" s="1"/>
      <c r="AO274" s="1"/>
      <c r="AP274" s="1"/>
      <c r="AQ274" s="1"/>
      <c r="AR274" s="1"/>
      <c r="AS274" s="1"/>
      <c r="AT274" s="1"/>
      <c r="AU274" s="1"/>
      <c r="AV274" s="1"/>
      <c r="AW274" s="1"/>
      <c r="AX274" s="1"/>
      <c r="AY274" s="1"/>
    </row>
    <row r="275" spans="1:51" ht="4.95" customHeight="1">
      <c r="A275" s="199"/>
      <c r="B275" s="24"/>
      <c r="C275" s="24"/>
      <c r="D275" s="24"/>
      <c r="E275" s="24"/>
      <c r="F275" s="24"/>
      <c r="G275" s="24"/>
      <c r="H275" s="24"/>
      <c r="I275" s="24"/>
      <c r="J275" s="24"/>
      <c r="K275" s="24"/>
      <c r="L275" s="24"/>
      <c r="M275" s="24"/>
      <c r="N275" s="200"/>
      <c r="O275" s="199"/>
      <c r="P275" s="24"/>
      <c r="Q275" s="24"/>
      <c r="R275" s="24"/>
      <c r="S275" s="24"/>
      <c r="T275" s="24"/>
      <c r="U275" s="24"/>
      <c r="V275" s="24"/>
      <c r="W275" s="24"/>
      <c r="X275" s="24"/>
      <c r="Y275" s="24"/>
      <c r="Z275" s="24"/>
      <c r="AA275" s="24"/>
      <c r="AB275" s="200"/>
      <c r="AC275" s="1"/>
      <c r="AD275" s="1"/>
      <c r="AE275" s="1"/>
      <c r="AF275" s="1"/>
      <c r="AG275" s="1"/>
      <c r="AH275" s="1"/>
      <c r="AI275" s="1"/>
      <c r="AJ275" s="1"/>
      <c r="AK275" s="1"/>
      <c r="AL275" s="1"/>
      <c r="AM275" s="1"/>
      <c r="AN275" s="1"/>
      <c r="AO275" s="1"/>
      <c r="AP275" s="1"/>
      <c r="AQ275" s="1"/>
      <c r="AR275" s="1"/>
      <c r="AS275" s="1"/>
      <c r="AT275" s="1"/>
      <c r="AU275" s="1"/>
      <c r="AV275" s="1"/>
      <c r="AW275" s="1"/>
      <c r="AX275" s="1"/>
      <c r="AY275" s="1"/>
    </row>
    <row r="276" spans="1:51" ht="13.8" customHeight="1">
      <c r="A276" s="201"/>
      <c r="B276" s="24"/>
      <c r="C276" s="24"/>
      <c r="D276" s="24"/>
      <c r="E276" s="24"/>
      <c r="F276" s="24"/>
      <c r="G276" s="24"/>
      <c r="H276" s="24"/>
      <c r="I276" s="24"/>
      <c r="J276" s="24"/>
      <c r="K276" s="24"/>
      <c r="L276" s="24"/>
      <c r="M276" s="24"/>
      <c r="N276" s="200"/>
      <c r="O276" s="199"/>
      <c r="P276" s="24"/>
      <c r="Q276" s="24"/>
      <c r="R276" s="24"/>
      <c r="S276" s="24"/>
      <c r="T276" s="24"/>
      <c r="U276" s="24"/>
      <c r="V276" s="24"/>
      <c r="W276" s="24"/>
      <c r="X276" s="24"/>
      <c r="Y276" s="24"/>
      <c r="Z276" s="24"/>
      <c r="AA276" s="24"/>
      <c r="AB276" s="203"/>
      <c r="AC276" s="1"/>
      <c r="AD276" s="1"/>
      <c r="AE276" s="1"/>
      <c r="AF276" s="1"/>
      <c r="AG276" s="1"/>
      <c r="AH276" s="1"/>
      <c r="AI276" s="1"/>
      <c r="AJ276" s="1"/>
      <c r="AK276" s="1"/>
      <c r="AL276" s="1"/>
      <c r="AM276" s="1"/>
      <c r="AN276" s="1"/>
      <c r="AO276" s="1"/>
      <c r="AP276" s="1"/>
      <c r="AQ276" s="1"/>
      <c r="AR276" s="1"/>
      <c r="AS276" s="1"/>
      <c r="AT276" s="1"/>
      <c r="AU276" s="1"/>
      <c r="AV276" s="1"/>
      <c r="AW276" s="1"/>
      <c r="AX276" s="1"/>
      <c r="AY276" s="1"/>
    </row>
    <row r="277" spans="1:51" ht="30" customHeight="1">
      <c r="A277" s="210" t="s">
        <v>1148</v>
      </c>
      <c r="B277" s="396" t="s">
        <v>2015</v>
      </c>
      <c r="C277" s="396"/>
      <c r="D277" s="396"/>
      <c r="E277" s="396"/>
      <c r="F277" s="396"/>
      <c r="G277" s="396"/>
      <c r="H277" s="396"/>
      <c r="I277" s="396"/>
      <c r="J277" s="396"/>
      <c r="K277" s="373"/>
      <c r="L277" s="373"/>
      <c r="M277" s="373"/>
      <c r="N277" s="211" t="s">
        <v>1149</v>
      </c>
      <c r="O277" s="372"/>
      <c r="P277" s="374"/>
      <c r="Q277" s="373"/>
      <c r="R277" s="373"/>
      <c r="S277" s="373"/>
      <c r="T277" s="373"/>
      <c r="U277" s="373"/>
      <c r="V277" s="373"/>
      <c r="W277" s="373"/>
      <c r="X277" s="373"/>
      <c r="Y277" s="373"/>
      <c r="Z277" s="373"/>
      <c r="AA277" s="373"/>
      <c r="AB277" s="211" t="s">
        <v>1149</v>
      </c>
      <c r="AC277" s="577"/>
      <c r="AD277" s="1"/>
      <c r="AE277" s="577"/>
      <c r="AF277" s="577"/>
      <c r="AG277" s="577"/>
      <c r="AH277" s="577"/>
      <c r="AI277" s="577"/>
      <c r="AJ277" s="577"/>
      <c r="AK277" s="577"/>
      <c r="AL277" s="577"/>
      <c r="AM277" s="577"/>
      <c r="AN277" s="577"/>
      <c r="AO277" s="577"/>
      <c r="AP277" s="577"/>
      <c r="AQ277" s="577"/>
      <c r="AR277" s="577"/>
      <c r="AS277" s="577"/>
      <c r="AT277" s="577"/>
      <c r="AU277" s="577"/>
      <c r="AV277" s="577"/>
      <c r="AW277" s="577"/>
      <c r="AX277" s="577"/>
      <c r="AY277" s="577"/>
    </row>
    <row r="278" spans="1:51" ht="10.050000000000001" customHeight="1">
      <c r="A278" s="199"/>
      <c r="B278" s="24"/>
      <c r="C278" s="24"/>
      <c r="D278" s="24"/>
      <c r="E278" s="24"/>
      <c r="F278" s="24"/>
      <c r="G278" s="24"/>
      <c r="H278" s="24"/>
      <c r="I278" s="24"/>
      <c r="J278" s="24"/>
      <c r="K278" s="24"/>
      <c r="L278" s="24"/>
      <c r="M278" s="24"/>
      <c r="N278" s="200"/>
      <c r="O278" s="199"/>
      <c r="P278" s="24"/>
      <c r="Q278" s="24"/>
      <c r="R278" s="24"/>
      <c r="S278" s="24"/>
      <c r="T278" s="24"/>
      <c r="U278" s="24"/>
      <c r="V278" s="24"/>
      <c r="W278" s="24"/>
      <c r="X278" s="24"/>
      <c r="Y278" s="24"/>
      <c r="Z278" s="24"/>
      <c r="AA278" s="24"/>
      <c r="AB278" s="200"/>
      <c r="AC278" s="1"/>
      <c r="AD278" s="1"/>
      <c r="AE278" s="1"/>
      <c r="AF278" s="1"/>
      <c r="AG278" s="1"/>
      <c r="AH278" s="1"/>
      <c r="AI278" s="1"/>
      <c r="AJ278" s="1"/>
      <c r="AK278" s="1"/>
      <c r="AL278" s="1"/>
      <c r="AM278" s="1"/>
      <c r="AN278" s="1"/>
      <c r="AO278" s="1"/>
      <c r="AP278" s="1"/>
      <c r="AQ278" s="1"/>
      <c r="AR278" s="1"/>
      <c r="AS278" s="1"/>
      <c r="AT278" s="1"/>
      <c r="AU278" s="1"/>
      <c r="AV278" s="1"/>
      <c r="AW278" s="1"/>
      <c r="AX278" s="1"/>
      <c r="AY278" s="1"/>
    </row>
    <row r="279" spans="1:51" ht="19.95" customHeight="1">
      <c r="A279" s="199"/>
      <c r="B279" s="394" t="s">
        <v>1277</v>
      </c>
      <c r="C279" s="24"/>
      <c r="D279" s="24"/>
      <c r="E279" s="24"/>
      <c r="F279" s="24"/>
      <c r="G279" s="24"/>
      <c r="H279" s="24"/>
      <c r="I279" s="24"/>
      <c r="J279" s="24"/>
      <c r="K279" s="24"/>
      <c r="L279" s="24"/>
      <c r="M279" s="24"/>
      <c r="N279" s="200"/>
      <c r="O279" s="199"/>
      <c r="P279" s="24"/>
      <c r="Q279" s="24"/>
      <c r="R279" s="398"/>
      <c r="S279" s="398"/>
      <c r="T279" s="398"/>
      <c r="U279" s="398"/>
      <c r="V279" s="398"/>
      <c r="W279" s="398"/>
      <c r="X279" s="398"/>
      <c r="Y279" s="398"/>
      <c r="Z279" s="398"/>
      <c r="AA279" s="398"/>
      <c r="AB279" s="200"/>
      <c r="AC279" s="1"/>
      <c r="AD279" s="1"/>
      <c r="AE279" s="1"/>
      <c r="AF279" s="1"/>
      <c r="AG279" s="1"/>
      <c r="AH279" s="1"/>
      <c r="AI279" s="1"/>
      <c r="AJ279" s="1"/>
      <c r="AK279" s="1"/>
      <c r="AL279" s="1"/>
      <c r="AM279" s="1"/>
      <c r="AN279" s="1"/>
      <c r="AO279" s="1"/>
      <c r="AP279" s="1"/>
      <c r="AQ279" s="1"/>
      <c r="AR279" s="1"/>
      <c r="AS279" s="1"/>
      <c r="AT279" s="1"/>
      <c r="AU279" s="1"/>
      <c r="AV279" s="1"/>
      <c r="AW279" s="1"/>
      <c r="AX279" s="1"/>
      <c r="AY279" s="1"/>
    </row>
    <row r="280" spans="1:51" ht="19.95" customHeight="1">
      <c r="A280" s="199"/>
      <c r="B280" s="1277" t="s">
        <v>1705</v>
      </c>
      <c r="C280" s="1277"/>
      <c r="D280" s="1277"/>
      <c r="E280" s="1277"/>
      <c r="F280" s="1277"/>
      <c r="G280" s="1277"/>
      <c r="H280" s="1277"/>
      <c r="I280" s="1277"/>
      <c r="J280" s="1277"/>
      <c r="K280" s="1277"/>
      <c r="L280" s="1277"/>
      <c r="M280" s="1277"/>
      <c r="N280" s="200"/>
      <c r="O280" s="199"/>
      <c r="P280" s="24"/>
      <c r="Q280" s="24"/>
      <c r="R280" s="398"/>
      <c r="S280" s="398"/>
      <c r="T280" s="398"/>
      <c r="U280" s="398"/>
      <c r="V280" s="398"/>
      <c r="W280" s="398"/>
      <c r="X280" s="398"/>
      <c r="Y280" s="398"/>
      <c r="Z280" s="398"/>
      <c r="AA280" s="398"/>
      <c r="AB280" s="200"/>
      <c r="AC280" s="1"/>
      <c r="AD280" s="1"/>
      <c r="AE280" s="1"/>
      <c r="AF280" s="1"/>
      <c r="AG280" s="1"/>
      <c r="AH280" s="1"/>
      <c r="AI280" s="1"/>
      <c r="AJ280" s="1"/>
      <c r="AK280" s="1"/>
      <c r="AL280" s="1"/>
      <c r="AM280" s="1"/>
      <c r="AN280" s="1"/>
      <c r="AO280" s="1"/>
      <c r="AP280" s="1"/>
      <c r="AQ280" s="1"/>
      <c r="AR280" s="1"/>
      <c r="AS280" s="1"/>
      <c r="AT280" s="1"/>
      <c r="AU280" s="1"/>
      <c r="AV280" s="1"/>
      <c r="AW280" s="1"/>
      <c r="AX280" s="1"/>
      <c r="AY280" s="1"/>
    </row>
    <row r="281" spans="1:51" ht="19.95" customHeight="1">
      <c r="A281" s="199"/>
      <c r="B281" s="1277"/>
      <c r="C281" s="1277"/>
      <c r="D281" s="1277"/>
      <c r="E281" s="1277"/>
      <c r="F281" s="1277"/>
      <c r="G281" s="1277"/>
      <c r="H281" s="1277"/>
      <c r="I281" s="1277"/>
      <c r="J281" s="1277"/>
      <c r="K281" s="1277"/>
      <c r="L281" s="1277"/>
      <c r="M281" s="1277"/>
      <c r="N281" s="200"/>
      <c r="O281" s="199"/>
      <c r="P281" s="24"/>
      <c r="Q281" s="24"/>
      <c r="R281" s="398"/>
      <c r="S281" s="398"/>
      <c r="T281" s="398"/>
      <c r="U281" s="398"/>
      <c r="V281" s="398"/>
      <c r="W281" s="398"/>
      <c r="X281" s="398"/>
      <c r="Y281" s="398"/>
      <c r="Z281" s="398"/>
      <c r="AA281" s="398"/>
      <c r="AB281" s="200"/>
      <c r="AC281" s="1"/>
      <c r="AD281" s="1"/>
      <c r="AE281" s="1"/>
      <c r="AF281" s="1"/>
      <c r="AG281" s="1"/>
      <c r="AH281" s="1"/>
      <c r="AI281" s="1"/>
      <c r="AJ281" s="1"/>
      <c r="AK281" s="1"/>
      <c r="AL281" s="1"/>
      <c r="AM281" s="1"/>
      <c r="AN281" s="1"/>
      <c r="AO281" s="1"/>
      <c r="AP281" s="1"/>
      <c r="AQ281" s="1"/>
      <c r="AR281" s="1"/>
      <c r="AS281" s="1"/>
      <c r="AT281" s="1"/>
      <c r="AU281" s="1"/>
      <c r="AV281" s="1"/>
      <c r="AW281" s="1"/>
      <c r="AX281" s="1"/>
      <c r="AY281" s="1"/>
    </row>
    <row r="282" spans="1:51" ht="19.95" customHeight="1">
      <c r="A282" s="199"/>
      <c r="B282" s="1277"/>
      <c r="C282" s="1277"/>
      <c r="D282" s="1277"/>
      <c r="E282" s="1277"/>
      <c r="F282" s="1277"/>
      <c r="G282" s="1277"/>
      <c r="H282" s="1277"/>
      <c r="I282" s="1277"/>
      <c r="J282" s="1277"/>
      <c r="K282" s="1277"/>
      <c r="L282" s="1277"/>
      <c r="M282" s="1277"/>
      <c r="N282" s="200"/>
      <c r="O282" s="199"/>
      <c r="P282" s="24"/>
      <c r="Q282" s="24"/>
      <c r="R282" s="398"/>
      <c r="S282" s="398"/>
      <c r="T282" s="398"/>
      <c r="U282" s="398"/>
      <c r="V282" s="398"/>
      <c r="W282" s="398"/>
      <c r="X282" s="398"/>
      <c r="Y282" s="398"/>
      <c r="Z282" s="398"/>
      <c r="AA282" s="398"/>
      <c r="AB282" s="200"/>
      <c r="AC282" s="1"/>
      <c r="AD282" s="1"/>
      <c r="AE282" s="1"/>
      <c r="AF282" s="1"/>
      <c r="AG282" s="1"/>
      <c r="AH282" s="1"/>
      <c r="AI282" s="1"/>
      <c r="AJ282" s="1"/>
      <c r="AK282" s="1"/>
      <c r="AL282" s="1"/>
      <c r="AM282" s="1"/>
      <c r="AN282" s="1"/>
      <c r="AO282" s="1"/>
      <c r="AP282" s="1"/>
      <c r="AQ282" s="1"/>
      <c r="AR282" s="1"/>
      <c r="AS282" s="1"/>
      <c r="AT282" s="1"/>
      <c r="AU282" s="1"/>
      <c r="AV282" s="1"/>
      <c r="AW282" s="1"/>
      <c r="AX282" s="1"/>
      <c r="AY282" s="1"/>
    </row>
    <row r="283" spans="1:51" ht="19.95" customHeight="1">
      <c r="A283" s="199"/>
      <c r="B283" s="1277"/>
      <c r="C283" s="1277"/>
      <c r="D283" s="1277"/>
      <c r="E283" s="1277"/>
      <c r="F283" s="1277"/>
      <c r="G283" s="1277"/>
      <c r="H283" s="1277"/>
      <c r="I283" s="1277"/>
      <c r="J283" s="1277"/>
      <c r="K283" s="1277"/>
      <c r="L283" s="1277"/>
      <c r="M283" s="1277"/>
      <c r="N283" s="200"/>
      <c r="O283" s="199"/>
      <c r="P283" s="24"/>
      <c r="Q283" s="24"/>
      <c r="R283" s="398"/>
      <c r="S283" s="398"/>
      <c r="T283" s="398"/>
      <c r="U283" s="398"/>
      <c r="V283" s="398"/>
      <c r="W283" s="398"/>
      <c r="X283" s="398"/>
      <c r="Y283" s="398"/>
      <c r="Z283" s="398"/>
      <c r="AA283" s="398"/>
      <c r="AB283" s="200"/>
      <c r="AC283" s="1"/>
      <c r="AD283" s="1"/>
      <c r="AE283" s="1"/>
      <c r="AF283" s="1"/>
      <c r="AG283" s="1"/>
      <c r="AH283" s="1"/>
      <c r="AI283" s="1"/>
      <c r="AJ283" s="1"/>
      <c r="AK283" s="1"/>
      <c r="AL283" s="1"/>
      <c r="AM283" s="1"/>
      <c r="AN283" s="1"/>
      <c r="AO283" s="1"/>
      <c r="AP283" s="1"/>
      <c r="AQ283" s="1"/>
      <c r="AR283" s="1"/>
      <c r="AS283" s="1"/>
      <c r="AT283" s="1"/>
      <c r="AU283" s="1"/>
      <c r="AV283" s="1"/>
      <c r="AW283" s="1"/>
      <c r="AX283" s="1"/>
      <c r="AY283" s="1"/>
    </row>
    <row r="284" spans="1:51" ht="19.95" customHeight="1">
      <c r="A284" s="199"/>
      <c r="B284" s="1277"/>
      <c r="C284" s="1277"/>
      <c r="D284" s="1277"/>
      <c r="E284" s="1277"/>
      <c r="F284" s="1277"/>
      <c r="G284" s="1277"/>
      <c r="H284" s="1277"/>
      <c r="I284" s="1277"/>
      <c r="J284" s="1277"/>
      <c r="K284" s="1277"/>
      <c r="L284" s="1277"/>
      <c r="M284" s="1277"/>
      <c r="N284" s="200"/>
      <c r="O284" s="199"/>
      <c r="P284" s="24"/>
      <c r="Q284" s="24"/>
      <c r="R284" s="398"/>
      <c r="S284" s="398"/>
      <c r="T284" s="398"/>
      <c r="U284" s="398"/>
      <c r="V284" s="398"/>
      <c r="W284" s="398"/>
      <c r="X284" s="398"/>
      <c r="Y284" s="398"/>
      <c r="Z284" s="398"/>
      <c r="AA284" s="398"/>
      <c r="AB284" s="200"/>
      <c r="AC284" s="1"/>
      <c r="AD284" s="1"/>
      <c r="AE284" s="1"/>
      <c r="AF284" s="1"/>
      <c r="AG284" s="1"/>
      <c r="AH284" s="1"/>
      <c r="AI284" s="1"/>
      <c r="AJ284" s="1"/>
      <c r="AK284" s="1"/>
      <c r="AL284" s="1"/>
      <c r="AM284" s="1"/>
      <c r="AN284" s="1"/>
      <c r="AO284" s="1"/>
      <c r="AP284" s="1"/>
      <c r="AQ284" s="1"/>
      <c r="AR284" s="1"/>
      <c r="AS284" s="1"/>
      <c r="AT284" s="1"/>
      <c r="AU284" s="1"/>
      <c r="AV284" s="1"/>
      <c r="AW284" s="1"/>
      <c r="AX284" s="1"/>
      <c r="AY284" s="1"/>
    </row>
    <row r="285" spans="1:51" ht="19.95" customHeight="1">
      <c r="A285" s="199"/>
      <c r="B285" s="394" t="s">
        <v>1278</v>
      </c>
      <c r="C285" s="24"/>
      <c r="D285" s="24"/>
      <c r="E285" s="24"/>
      <c r="F285" s="24"/>
      <c r="G285" s="24"/>
      <c r="H285" s="24"/>
      <c r="I285" s="24"/>
      <c r="J285" s="24"/>
      <c r="K285" s="24"/>
      <c r="L285" s="24"/>
      <c r="M285" s="24"/>
      <c r="N285" s="200"/>
      <c r="O285" s="199"/>
      <c r="P285" s="24"/>
      <c r="Q285" s="24"/>
      <c r="R285" s="398"/>
      <c r="S285" s="398"/>
      <c r="T285" s="398"/>
      <c r="U285" s="398"/>
      <c r="V285" s="398"/>
      <c r="W285" s="398"/>
      <c r="X285" s="398"/>
      <c r="Y285" s="398"/>
      <c r="Z285" s="398"/>
      <c r="AA285" s="398"/>
      <c r="AB285" s="200"/>
      <c r="AC285" s="1"/>
      <c r="AD285" s="1"/>
      <c r="AE285" s="1"/>
      <c r="AF285" s="1"/>
      <c r="AG285" s="1"/>
      <c r="AH285" s="1"/>
      <c r="AI285" s="1"/>
      <c r="AJ285" s="1"/>
      <c r="AK285" s="1"/>
      <c r="AL285" s="1"/>
      <c r="AM285" s="1"/>
      <c r="AN285" s="1"/>
      <c r="AO285" s="1"/>
      <c r="AP285" s="1"/>
      <c r="AQ285" s="1"/>
      <c r="AR285" s="1"/>
      <c r="AS285" s="1"/>
      <c r="AT285" s="1"/>
      <c r="AU285" s="1"/>
      <c r="AV285" s="1"/>
      <c r="AW285" s="1"/>
      <c r="AX285" s="1"/>
      <c r="AY285" s="1"/>
    </row>
    <row r="286" spans="1:51" ht="19.95" customHeight="1">
      <c r="A286" s="199"/>
      <c r="B286" s="1277" t="s">
        <v>2016</v>
      </c>
      <c r="C286" s="1277"/>
      <c r="D286" s="1277"/>
      <c r="E286" s="1277"/>
      <c r="F286" s="1277"/>
      <c r="G286" s="1277"/>
      <c r="H286" s="1277"/>
      <c r="I286" s="1277"/>
      <c r="J286" s="1277"/>
      <c r="K286" s="1277"/>
      <c r="L286" s="1277"/>
      <c r="M286" s="1277"/>
      <c r="N286" s="200"/>
      <c r="O286" s="199"/>
      <c r="P286" s="24"/>
      <c r="Q286" s="24"/>
      <c r="R286" s="398"/>
      <c r="S286" s="398"/>
      <c r="T286" s="398"/>
      <c r="U286" s="398"/>
      <c r="V286" s="398"/>
      <c r="W286" s="398"/>
      <c r="X286" s="398"/>
      <c r="Y286" s="398"/>
      <c r="Z286" s="398"/>
      <c r="AA286" s="398"/>
      <c r="AB286" s="200"/>
      <c r="AC286" s="1"/>
      <c r="AD286" s="1"/>
      <c r="AE286" s="1"/>
      <c r="AF286" s="1"/>
      <c r="AG286" s="1"/>
      <c r="AH286" s="1"/>
      <c r="AI286" s="1"/>
      <c r="AJ286" s="1"/>
      <c r="AK286" s="1"/>
      <c r="AL286" s="1"/>
      <c r="AM286" s="1"/>
      <c r="AN286" s="1"/>
      <c r="AO286" s="1"/>
      <c r="AP286" s="1"/>
      <c r="AQ286" s="1"/>
      <c r="AR286" s="1"/>
      <c r="AS286" s="1"/>
      <c r="AT286" s="1"/>
      <c r="AU286" s="1"/>
      <c r="AV286" s="1"/>
      <c r="AW286" s="1"/>
      <c r="AX286" s="1"/>
      <c r="AY286" s="1"/>
    </row>
    <row r="287" spans="1:51" ht="19.95" customHeight="1">
      <c r="A287" s="199"/>
      <c r="B287" s="1277"/>
      <c r="C287" s="1277"/>
      <c r="D287" s="1277"/>
      <c r="E287" s="1277"/>
      <c r="F287" s="1277"/>
      <c r="G287" s="1277"/>
      <c r="H287" s="1277"/>
      <c r="I287" s="1277"/>
      <c r="J287" s="1277"/>
      <c r="K287" s="1277"/>
      <c r="L287" s="1277"/>
      <c r="M287" s="1277"/>
      <c r="N287" s="200"/>
      <c r="O287" s="199"/>
      <c r="P287" s="24"/>
      <c r="Q287" s="24"/>
      <c r="R287" s="398"/>
      <c r="S287" s="398"/>
      <c r="T287" s="398"/>
      <c r="U287" s="398"/>
      <c r="V287" s="398"/>
      <c r="W287" s="398"/>
      <c r="X287" s="398"/>
      <c r="Y287" s="398"/>
      <c r="Z287" s="398"/>
      <c r="AA287" s="398"/>
      <c r="AB287" s="200"/>
      <c r="AC287" s="1"/>
      <c r="AD287" s="1"/>
      <c r="AE287" s="1"/>
      <c r="AF287" s="1"/>
      <c r="AG287" s="1"/>
      <c r="AH287" s="1"/>
      <c r="AI287" s="1"/>
      <c r="AJ287" s="1"/>
      <c r="AK287" s="1"/>
      <c r="AL287" s="1"/>
      <c r="AM287" s="1"/>
      <c r="AN287" s="1"/>
      <c r="AO287" s="1"/>
      <c r="AP287" s="1"/>
      <c r="AQ287" s="1"/>
      <c r="AR287" s="1"/>
      <c r="AS287" s="1"/>
      <c r="AT287" s="1"/>
      <c r="AU287" s="1"/>
      <c r="AV287" s="1"/>
      <c r="AW287" s="1"/>
      <c r="AX287" s="1"/>
      <c r="AY287" s="1"/>
    </row>
    <row r="288" spans="1:51" ht="19.95" customHeight="1">
      <c r="A288" s="199"/>
      <c r="B288" s="1277"/>
      <c r="C288" s="1277"/>
      <c r="D288" s="1277"/>
      <c r="E288" s="1277"/>
      <c r="F288" s="1277"/>
      <c r="G288" s="1277"/>
      <c r="H288" s="1277"/>
      <c r="I288" s="1277"/>
      <c r="J288" s="1277"/>
      <c r="K288" s="1277"/>
      <c r="L288" s="1277"/>
      <c r="M288" s="1277"/>
      <c r="N288" s="200"/>
      <c r="O288" s="199"/>
      <c r="P288" s="24"/>
      <c r="Q288" s="24"/>
      <c r="R288" s="398"/>
      <c r="S288" s="398"/>
      <c r="T288" s="398"/>
      <c r="U288" s="398"/>
      <c r="V288" s="398"/>
      <c r="W288" s="398"/>
      <c r="X288" s="398"/>
      <c r="Y288" s="398"/>
      <c r="Z288" s="398"/>
      <c r="AA288" s="398"/>
      <c r="AB288" s="200"/>
      <c r="AC288" s="1"/>
      <c r="AD288" s="1"/>
      <c r="AE288" s="1"/>
      <c r="AF288" s="1"/>
      <c r="AG288" s="1"/>
      <c r="AH288" s="1"/>
      <c r="AI288" s="1"/>
      <c r="AJ288" s="1"/>
      <c r="AK288" s="1"/>
      <c r="AL288" s="1"/>
      <c r="AM288" s="1"/>
      <c r="AN288" s="1"/>
      <c r="AO288" s="1"/>
      <c r="AP288" s="1"/>
      <c r="AQ288" s="1"/>
      <c r="AR288" s="1"/>
      <c r="AS288" s="1"/>
      <c r="AT288" s="1"/>
      <c r="AU288" s="1"/>
      <c r="AV288" s="1"/>
      <c r="AW288" s="1"/>
      <c r="AX288" s="1"/>
      <c r="AY288" s="1"/>
    </row>
    <row r="289" spans="1:51" ht="19.95" customHeight="1">
      <c r="A289" s="199"/>
      <c r="B289" s="1277"/>
      <c r="C289" s="1277"/>
      <c r="D289" s="1277"/>
      <c r="E289" s="1277"/>
      <c r="F289" s="1277"/>
      <c r="G289" s="1277"/>
      <c r="H289" s="1277"/>
      <c r="I289" s="1277"/>
      <c r="J289" s="1277"/>
      <c r="K289" s="1277"/>
      <c r="L289" s="1277"/>
      <c r="M289" s="1277"/>
      <c r="N289" s="200"/>
      <c r="O289" s="199"/>
      <c r="P289" s="24"/>
      <c r="Q289" s="24"/>
      <c r="R289" s="398"/>
      <c r="S289" s="398"/>
      <c r="T289" s="398"/>
      <c r="U289" s="398"/>
      <c r="V289" s="398"/>
      <c r="W289" s="398"/>
      <c r="X289" s="398"/>
      <c r="Y289" s="398"/>
      <c r="Z289" s="398"/>
      <c r="AA289" s="398"/>
      <c r="AB289" s="200"/>
      <c r="AC289" s="1"/>
      <c r="AD289" s="1"/>
      <c r="AE289" s="1"/>
      <c r="AF289" s="1"/>
      <c r="AG289" s="1"/>
      <c r="AH289" s="1"/>
      <c r="AI289" s="1"/>
      <c r="AJ289" s="1"/>
      <c r="AK289" s="1"/>
      <c r="AL289" s="1"/>
      <c r="AM289" s="1"/>
      <c r="AN289" s="1"/>
      <c r="AO289" s="1"/>
      <c r="AP289" s="1"/>
      <c r="AQ289" s="1"/>
      <c r="AR289" s="1"/>
      <c r="AS289" s="1"/>
      <c r="AT289" s="1"/>
      <c r="AU289" s="1"/>
      <c r="AV289" s="1"/>
      <c r="AW289" s="1"/>
      <c r="AX289" s="1"/>
      <c r="AY289" s="1"/>
    </row>
    <row r="290" spans="1:51" ht="19.95" customHeight="1">
      <c r="A290" s="199"/>
      <c r="B290" s="1277"/>
      <c r="C290" s="1277"/>
      <c r="D290" s="1277"/>
      <c r="E290" s="1277"/>
      <c r="F290" s="1277"/>
      <c r="G290" s="1277"/>
      <c r="H290" s="1277"/>
      <c r="I290" s="1277"/>
      <c r="J290" s="1277"/>
      <c r="K290" s="1277"/>
      <c r="L290" s="1277"/>
      <c r="M290" s="1277"/>
      <c r="N290" s="200"/>
      <c r="O290" s="199"/>
      <c r="P290" s="24"/>
      <c r="Q290" s="24"/>
      <c r="R290" s="398"/>
      <c r="S290" s="398"/>
      <c r="T290" s="398"/>
      <c r="U290" s="398"/>
      <c r="V290" s="398"/>
      <c r="W290" s="398"/>
      <c r="X290" s="398"/>
      <c r="Y290" s="398"/>
      <c r="Z290" s="398"/>
      <c r="AA290" s="398"/>
      <c r="AB290" s="200"/>
      <c r="AC290" s="1"/>
      <c r="AD290" s="1"/>
      <c r="AE290" s="1"/>
      <c r="AF290" s="1"/>
      <c r="AG290" s="1"/>
      <c r="AH290" s="1"/>
      <c r="AI290" s="1"/>
      <c r="AJ290" s="1"/>
      <c r="AK290" s="1"/>
      <c r="AL290" s="1"/>
      <c r="AM290" s="1"/>
      <c r="AN290" s="1"/>
      <c r="AO290" s="1"/>
      <c r="AP290" s="1"/>
      <c r="AQ290" s="1"/>
      <c r="AR290" s="1"/>
      <c r="AS290" s="1"/>
      <c r="AT290" s="1"/>
      <c r="AU290" s="1"/>
      <c r="AV290" s="1"/>
      <c r="AW290" s="1"/>
      <c r="AX290" s="1"/>
      <c r="AY290" s="1"/>
    </row>
    <row r="291" spans="1:51" ht="19.95" customHeight="1">
      <c r="A291" s="199"/>
      <c r="B291" s="394" t="s">
        <v>1279</v>
      </c>
      <c r="C291" s="24"/>
      <c r="D291" s="24"/>
      <c r="E291" s="24"/>
      <c r="F291" s="24"/>
      <c r="G291" s="24"/>
      <c r="H291" s="24"/>
      <c r="I291" s="24"/>
      <c r="J291" s="24"/>
      <c r="K291" s="24"/>
      <c r="L291" s="24"/>
      <c r="M291" s="24"/>
      <c r="N291" s="200"/>
      <c r="O291" s="199"/>
      <c r="P291" s="24"/>
      <c r="Q291" s="24"/>
      <c r="R291" s="398"/>
      <c r="S291" s="398"/>
      <c r="T291" s="398"/>
      <c r="U291" s="398"/>
      <c r="V291" s="398"/>
      <c r="W291" s="398"/>
      <c r="X291" s="398"/>
      <c r="Y291" s="398"/>
      <c r="Z291" s="398"/>
      <c r="AA291" s="398"/>
      <c r="AB291" s="200"/>
      <c r="AC291" s="1"/>
      <c r="AD291" s="1"/>
      <c r="AE291" s="1"/>
      <c r="AF291" s="1"/>
      <c r="AG291" s="1"/>
      <c r="AH291" s="1"/>
      <c r="AI291" s="1"/>
      <c r="AJ291" s="1"/>
      <c r="AK291" s="1"/>
      <c r="AL291" s="1"/>
      <c r="AM291" s="1"/>
      <c r="AN291" s="1"/>
      <c r="AO291" s="1"/>
      <c r="AP291" s="1"/>
      <c r="AQ291" s="1"/>
      <c r="AR291" s="1"/>
      <c r="AS291" s="1"/>
      <c r="AT291" s="1"/>
      <c r="AU291" s="1"/>
      <c r="AV291" s="1"/>
      <c r="AW291" s="1"/>
      <c r="AX291" s="1"/>
      <c r="AY291" s="1"/>
    </row>
    <row r="292" spans="1:51" ht="22.95" customHeight="1">
      <c r="A292" s="199"/>
      <c r="B292" s="1277" t="s">
        <v>1595</v>
      </c>
      <c r="C292" s="1277"/>
      <c r="D292" s="1277"/>
      <c r="E292" s="1277"/>
      <c r="F292" s="1277"/>
      <c r="G292" s="1277"/>
      <c r="H292" s="1277"/>
      <c r="I292" s="1277"/>
      <c r="J292" s="1277"/>
      <c r="K292" s="1277"/>
      <c r="L292" s="1277"/>
      <c r="M292" s="1277"/>
      <c r="N292" s="200"/>
      <c r="O292" s="199"/>
      <c r="P292" s="24"/>
      <c r="Q292" s="24"/>
      <c r="R292" s="398"/>
      <c r="S292" s="398"/>
      <c r="T292" s="398"/>
      <c r="U292" s="398"/>
      <c r="V292" s="398"/>
      <c r="W292" s="398"/>
      <c r="X292" s="398"/>
      <c r="Y292" s="398"/>
      <c r="Z292" s="398"/>
      <c r="AA292" s="398"/>
      <c r="AB292" s="200"/>
      <c r="AC292" s="1"/>
      <c r="AD292" s="1"/>
      <c r="AE292" s="1"/>
      <c r="AF292" s="1"/>
      <c r="AG292" s="1"/>
      <c r="AH292" s="1"/>
      <c r="AI292" s="1"/>
      <c r="AJ292" s="1"/>
      <c r="AK292" s="1"/>
      <c r="AL292" s="1"/>
      <c r="AM292" s="1"/>
      <c r="AN292" s="1"/>
      <c r="AO292" s="1"/>
      <c r="AP292" s="1"/>
      <c r="AQ292" s="1"/>
      <c r="AR292" s="1"/>
      <c r="AS292" s="1"/>
      <c r="AT292" s="1"/>
      <c r="AU292" s="1"/>
      <c r="AV292" s="1"/>
      <c r="AW292" s="1"/>
      <c r="AX292" s="1"/>
      <c r="AY292" s="1"/>
    </row>
    <row r="293" spans="1:51" ht="22.95" customHeight="1">
      <c r="A293" s="199"/>
      <c r="B293" s="1277"/>
      <c r="C293" s="1277"/>
      <c r="D293" s="1277"/>
      <c r="E293" s="1277"/>
      <c r="F293" s="1277"/>
      <c r="G293" s="1277"/>
      <c r="H293" s="1277"/>
      <c r="I293" s="1277"/>
      <c r="J293" s="1277"/>
      <c r="K293" s="1277"/>
      <c r="L293" s="1277"/>
      <c r="M293" s="1277"/>
      <c r="N293" s="200"/>
      <c r="O293" s="199"/>
      <c r="P293" s="24"/>
      <c r="Q293" s="24"/>
      <c r="R293" s="398"/>
      <c r="S293" s="398"/>
      <c r="T293" s="398"/>
      <c r="U293" s="398"/>
      <c r="V293" s="398"/>
      <c r="W293" s="398"/>
      <c r="X293" s="398"/>
      <c r="Y293" s="398"/>
      <c r="Z293" s="398"/>
      <c r="AA293" s="398"/>
      <c r="AB293" s="200"/>
      <c r="AC293" s="1"/>
      <c r="AD293" s="1"/>
      <c r="AE293" s="1"/>
      <c r="AF293" s="1"/>
      <c r="AG293" s="1"/>
      <c r="AH293" s="1"/>
      <c r="AI293" s="1"/>
      <c r="AJ293" s="1"/>
      <c r="AK293" s="1"/>
      <c r="AL293" s="1"/>
      <c r="AM293" s="1"/>
      <c r="AN293" s="1"/>
      <c r="AO293" s="1"/>
      <c r="AP293" s="1"/>
      <c r="AQ293" s="1"/>
      <c r="AR293" s="1"/>
      <c r="AS293" s="1"/>
      <c r="AT293" s="1"/>
      <c r="AU293" s="1"/>
      <c r="AV293" s="1"/>
      <c r="AW293" s="1"/>
      <c r="AX293" s="1"/>
      <c r="AY293" s="1"/>
    </row>
    <row r="294" spans="1:51" ht="22.95" customHeight="1">
      <c r="A294" s="199"/>
      <c r="B294" s="1277"/>
      <c r="C294" s="1277"/>
      <c r="D294" s="1277"/>
      <c r="E294" s="1277"/>
      <c r="F294" s="1277"/>
      <c r="G294" s="1277"/>
      <c r="H294" s="1277"/>
      <c r="I294" s="1277"/>
      <c r="J294" s="1277"/>
      <c r="K294" s="1277"/>
      <c r="L294" s="1277"/>
      <c r="M294" s="1277"/>
      <c r="N294" s="200"/>
      <c r="O294" s="199"/>
      <c r="P294" s="24"/>
      <c r="Q294" s="24"/>
      <c r="R294" s="398"/>
      <c r="S294" s="398"/>
      <c r="T294" s="398"/>
      <c r="U294" s="398"/>
      <c r="V294" s="398"/>
      <c r="W294" s="398"/>
      <c r="X294" s="398"/>
      <c r="Y294" s="398"/>
      <c r="Z294" s="398"/>
      <c r="AA294" s="398"/>
      <c r="AB294" s="200"/>
      <c r="AC294" s="1"/>
      <c r="AD294" s="1"/>
      <c r="AE294" s="1"/>
      <c r="AF294" s="1"/>
      <c r="AG294" s="1"/>
      <c r="AH294" s="1"/>
      <c r="AI294" s="1"/>
      <c r="AJ294" s="1"/>
      <c r="AK294" s="1"/>
      <c r="AL294" s="1"/>
      <c r="AM294" s="1"/>
      <c r="AN294" s="1"/>
      <c r="AO294" s="1"/>
      <c r="AP294" s="1"/>
      <c r="AQ294" s="1"/>
      <c r="AR294" s="1"/>
      <c r="AS294" s="1"/>
      <c r="AT294" s="1"/>
      <c r="AU294" s="1"/>
      <c r="AV294" s="1"/>
      <c r="AW294" s="1"/>
      <c r="AX294" s="1"/>
      <c r="AY294" s="1"/>
    </row>
    <row r="295" spans="1:51" ht="22.95" customHeight="1">
      <c r="A295" s="199"/>
      <c r="B295" s="1277"/>
      <c r="C295" s="1277"/>
      <c r="D295" s="1277"/>
      <c r="E295" s="1277"/>
      <c r="F295" s="1277"/>
      <c r="G295" s="1277"/>
      <c r="H295" s="1277"/>
      <c r="I295" s="1277"/>
      <c r="J295" s="1277"/>
      <c r="K295" s="1277"/>
      <c r="L295" s="1277"/>
      <c r="M295" s="1277"/>
      <c r="N295" s="200"/>
      <c r="O295" s="199"/>
      <c r="P295" s="24"/>
      <c r="Q295" s="24"/>
      <c r="R295" s="398"/>
      <c r="S295" s="398"/>
      <c r="T295" s="398"/>
      <c r="U295" s="398"/>
      <c r="V295" s="398"/>
      <c r="W295" s="398"/>
      <c r="X295" s="398"/>
      <c r="Y295" s="398"/>
      <c r="Z295" s="398"/>
      <c r="AA295" s="398"/>
      <c r="AB295" s="200"/>
      <c r="AC295" s="1"/>
      <c r="AD295" s="1"/>
      <c r="AE295" s="1"/>
      <c r="AF295" s="1"/>
      <c r="AG295" s="1"/>
      <c r="AH295" s="1"/>
      <c r="AI295" s="1"/>
      <c r="AJ295" s="1"/>
      <c r="AK295" s="1"/>
      <c r="AL295" s="1"/>
      <c r="AM295" s="1"/>
      <c r="AN295" s="1"/>
      <c r="AO295" s="1"/>
      <c r="AP295" s="1"/>
      <c r="AQ295" s="1"/>
      <c r="AR295" s="1"/>
      <c r="AS295" s="1"/>
      <c r="AT295" s="1"/>
      <c r="AU295" s="1"/>
      <c r="AV295" s="1"/>
      <c r="AW295" s="1"/>
      <c r="AX295" s="1"/>
      <c r="AY295" s="1"/>
    </row>
    <row r="296" spans="1:51" ht="22.95" customHeight="1">
      <c r="A296" s="199"/>
      <c r="B296" s="1277"/>
      <c r="C296" s="1277"/>
      <c r="D296" s="1277"/>
      <c r="E296" s="1277"/>
      <c r="F296" s="1277"/>
      <c r="G296" s="1277"/>
      <c r="H296" s="1277"/>
      <c r="I296" s="1277"/>
      <c r="J296" s="1277"/>
      <c r="K296" s="1277"/>
      <c r="L296" s="1277"/>
      <c r="M296" s="1277"/>
      <c r="N296" s="200"/>
      <c r="O296" s="199"/>
      <c r="P296" s="24"/>
      <c r="Q296" s="24"/>
      <c r="R296" s="398"/>
      <c r="S296" s="398"/>
      <c r="T296" s="398"/>
      <c r="U296" s="398"/>
      <c r="V296" s="398"/>
      <c r="W296" s="398"/>
      <c r="X296" s="398"/>
      <c r="Y296" s="398"/>
      <c r="Z296" s="398"/>
      <c r="AA296" s="398"/>
      <c r="AB296" s="200"/>
      <c r="AC296" s="1"/>
      <c r="AD296" s="1"/>
      <c r="AE296" s="1"/>
      <c r="AF296" s="1"/>
      <c r="AG296" s="1"/>
      <c r="AH296" s="1"/>
      <c r="AI296" s="1"/>
      <c r="AJ296" s="1"/>
      <c r="AK296" s="1"/>
      <c r="AL296" s="1"/>
      <c r="AM296" s="1"/>
      <c r="AN296" s="1"/>
      <c r="AO296" s="1"/>
      <c r="AP296" s="1"/>
      <c r="AQ296" s="1"/>
      <c r="AR296" s="1"/>
      <c r="AS296" s="1"/>
      <c r="AT296" s="1"/>
      <c r="AU296" s="1"/>
      <c r="AV296" s="1"/>
      <c r="AW296" s="1"/>
      <c r="AX296" s="1"/>
      <c r="AY296" s="1"/>
    </row>
    <row r="297" spans="1:51" ht="4.95" customHeight="1" thickBot="1">
      <c r="A297" s="199"/>
      <c r="B297" s="391"/>
      <c r="C297" s="391"/>
      <c r="D297" s="391"/>
      <c r="E297" s="391"/>
      <c r="F297" s="391"/>
      <c r="G297" s="391"/>
      <c r="H297" s="391"/>
      <c r="I297" s="391"/>
      <c r="J297" s="391"/>
      <c r="K297" s="391"/>
      <c r="L297" s="391"/>
      <c r="M297" s="391"/>
      <c r="N297" s="200"/>
      <c r="O297" s="199"/>
      <c r="P297" s="24"/>
      <c r="Q297" s="24"/>
      <c r="R297" s="398"/>
      <c r="S297" s="398"/>
      <c r="T297" s="398"/>
      <c r="U297" s="398"/>
      <c r="V297" s="398"/>
      <c r="W297" s="398"/>
      <c r="X297" s="398"/>
      <c r="Y297" s="398"/>
      <c r="Z297" s="398"/>
      <c r="AA297" s="398"/>
      <c r="AB297" s="200"/>
      <c r="AC297" s="1"/>
      <c r="AD297" s="1"/>
      <c r="AE297" s="1"/>
      <c r="AF297" s="1"/>
      <c r="AG297" s="1"/>
      <c r="AH297" s="1"/>
      <c r="AI297" s="1"/>
      <c r="AJ297" s="1"/>
      <c r="AK297" s="1"/>
      <c r="AL297" s="1"/>
      <c r="AM297" s="1"/>
      <c r="AN297" s="1"/>
      <c r="AO297" s="1"/>
      <c r="AP297" s="1"/>
      <c r="AQ297" s="1"/>
      <c r="AR297" s="1"/>
      <c r="AS297" s="1"/>
      <c r="AT297" s="1"/>
      <c r="AU297" s="1"/>
      <c r="AV297" s="1"/>
      <c r="AW297" s="1"/>
      <c r="AX297" s="1"/>
      <c r="AY297" s="1"/>
    </row>
    <row r="298" spans="1:51" ht="18" customHeight="1" thickBot="1">
      <c r="A298" s="199"/>
      <c r="B298" s="393" t="s">
        <v>1274</v>
      </c>
      <c r="C298" s="392"/>
      <c r="D298" s="392"/>
      <c r="E298" s="392"/>
      <c r="F298" s="392"/>
      <c r="G298" s="1295" t="s">
        <v>43</v>
      </c>
      <c r="H298" s="1296"/>
      <c r="I298" s="1296"/>
      <c r="J298" s="1296"/>
      <c r="K298" s="1296"/>
      <c r="L298" s="1296"/>
      <c r="M298" s="1297"/>
      <c r="N298" s="200"/>
      <c r="O298" s="199"/>
      <c r="P298" s="24"/>
      <c r="Q298" s="24"/>
      <c r="R298" s="398"/>
      <c r="S298" s="398"/>
      <c r="T298" s="398"/>
      <c r="U298" s="398"/>
      <c r="V298" s="398"/>
      <c r="W298" s="398"/>
      <c r="X298" s="398"/>
      <c r="Y298" s="398"/>
      <c r="Z298" s="398"/>
      <c r="AA298" s="398"/>
      <c r="AB298" s="200"/>
      <c r="AC298" s="1"/>
      <c r="AD298" s="1"/>
      <c r="AE298" s="1"/>
      <c r="AF298" s="1"/>
      <c r="AG298" s="1"/>
      <c r="AH298" s="1"/>
      <c r="AI298" s="1"/>
      <c r="AJ298" s="1"/>
      <c r="AK298" s="1"/>
      <c r="AL298" s="1"/>
      <c r="AM298" s="1"/>
      <c r="AN298" s="1"/>
      <c r="AO298" s="1"/>
      <c r="AP298" s="1"/>
      <c r="AQ298" s="1"/>
      <c r="AR298" s="1"/>
      <c r="AS298" s="1"/>
      <c r="AT298" s="1"/>
      <c r="AU298" s="1"/>
      <c r="AV298" s="1"/>
      <c r="AW298" s="1"/>
      <c r="AX298" s="1"/>
      <c r="AY298" s="1"/>
    </row>
    <row r="299" spans="1:51" ht="4.95" customHeight="1" thickBot="1">
      <c r="A299" s="199"/>
      <c r="B299" s="392"/>
      <c r="C299" s="392"/>
      <c r="D299" s="392"/>
      <c r="E299" s="392"/>
      <c r="F299" s="392"/>
      <c r="G299" s="392"/>
      <c r="H299" s="24"/>
      <c r="I299" s="24"/>
      <c r="J299" s="24"/>
      <c r="K299" s="24"/>
      <c r="L299" s="24"/>
      <c r="M299" s="24"/>
      <c r="N299" s="200"/>
      <c r="O299" s="199"/>
      <c r="P299" s="24"/>
      <c r="Q299" s="24"/>
      <c r="R299" s="398"/>
      <c r="S299" s="398"/>
      <c r="T299" s="398"/>
      <c r="U299" s="398"/>
      <c r="V299" s="398"/>
      <c r="W299" s="398"/>
      <c r="X299" s="398"/>
      <c r="Y299" s="398"/>
      <c r="Z299" s="398"/>
      <c r="AA299" s="398"/>
      <c r="AB299" s="200"/>
      <c r="AC299" s="1"/>
      <c r="AD299" s="1"/>
      <c r="AE299" s="1"/>
      <c r="AF299" s="1"/>
      <c r="AG299" s="1"/>
      <c r="AH299" s="1"/>
      <c r="AI299" s="1"/>
      <c r="AJ299" s="1"/>
      <c r="AK299" s="1"/>
      <c r="AL299" s="1"/>
      <c r="AM299" s="1"/>
      <c r="AN299" s="1"/>
      <c r="AO299" s="1"/>
      <c r="AP299" s="1"/>
      <c r="AQ299" s="1"/>
      <c r="AR299" s="1"/>
      <c r="AS299" s="1"/>
      <c r="AT299" s="1"/>
      <c r="AU299" s="1"/>
      <c r="AV299" s="1"/>
      <c r="AW299" s="1"/>
      <c r="AX299" s="1"/>
      <c r="AY299" s="1"/>
    </row>
    <row r="300" spans="1:51" ht="18" customHeight="1" thickBot="1">
      <c r="A300" s="199"/>
      <c r="B300" s="393" t="s">
        <v>1275</v>
      </c>
      <c r="C300" s="392"/>
      <c r="D300" s="392"/>
      <c r="E300" s="392"/>
      <c r="F300" s="392"/>
      <c r="G300" s="1295" t="s">
        <v>1359</v>
      </c>
      <c r="H300" s="1296"/>
      <c r="I300" s="1296"/>
      <c r="J300" s="1296"/>
      <c r="K300" s="1296"/>
      <c r="L300" s="1296"/>
      <c r="M300" s="1297"/>
      <c r="N300" s="200"/>
      <c r="O300" s="199"/>
      <c r="P300" s="24"/>
      <c r="Q300" s="24"/>
      <c r="R300" s="398"/>
      <c r="S300" s="398"/>
      <c r="T300" s="398"/>
      <c r="U300" s="398"/>
      <c r="V300" s="398"/>
      <c r="W300" s="398"/>
      <c r="X300" s="398"/>
      <c r="Y300" s="398"/>
      <c r="Z300" s="398"/>
      <c r="AA300" s="398"/>
      <c r="AB300" s="200"/>
      <c r="AC300" s="1"/>
      <c r="AD300" s="1"/>
      <c r="AE300" s="1"/>
      <c r="AF300" s="1"/>
      <c r="AG300" s="1"/>
      <c r="AH300" s="1"/>
      <c r="AI300" s="1"/>
      <c r="AJ300" s="1"/>
      <c r="AK300" s="1"/>
      <c r="AL300" s="1"/>
      <c r="AM300" s="1"/>
      <c r="AN300" s="1"/>
      <c r="AO300" s="1"/>
      <c r="AP300" s="1"/>
      <c r="AQ300" s="1"/>
      <c r="AR300" s="1"/>
      <c r="AS300" s="1"/>
      <c r="AT300" s="1"/>
      <c r="AU300" s="1"/>
      <c r="AV300" s="1"/>
      <c r="AW300" s="1"/>
      <c r="AX300" s="1"/>
      <c r="AY300" s="1"/>
    </row>
    <row r="301" spans="1:51" ht="4.95" customHeight="1" thickBot="1">
      <c r="A301" s="199"/>
      <c r="B301" s="392"/>
      <c r="C301" s="392"/>
      <c r="D301" s="392"/>
      <c r="E301" s="392"/>
      <c r="F301" s="392"/>
      <c r="G301" s="392"/>
      <c r="H301" s="24"/>
      <c r="I301" s="24"/>
      <c r="J301" s="24"/>
      <c r="K301" s="24"/>
      <c r="L301" s="24"/>
      <c r="M301" s="24"/>
      <c r="N301" s="200"/>
      <c r="O301" s="199"/>
      <c r="P301" s="24"/>
      <c r="Q301" s="24"/>
      <c r="R301" s="398"/>
      <c r="S301" s="398"/>
      <c r="T301" s="398"/>
      <c r="U301" s="398"/>
      <c r="V301" s="398"/>
      <c r="W301" s="398"/>
      <c r="X301" s="398"/>
      <c r="Y301" s="398"/>
      <c r="Z301" s="398"/>
      <c r="AA301" s="398"/>
      <c r="AB301" s="200"/>
      <c r="AC301" s="1"/>
      <c r="AD301" s="1"/>
      <c r="AE301" s="1"/>
      <c r="AF301" s="1"/>
      <c r="AG301" s="1"/>
      <c r="AH301" s="1"/>
      <c r="AI301" s="1"/>
      <c r="AJ301" s="1"/>
      <c r="AK301" s="1"/>
      <c r="AL301" s="1"/>
      <c r="AM301" s="1"/>
      <c r="AN301" s="1"/>
      <c r="AO301" s="1"/>
      <c r="AP301" s="1"/>
      <c r="AQ301" s="1"/>
      <c r="AR301" s="1"/>
      <c r="AS301" s="1"/>
      <c r="AT301" s="1"/>
      <c r="AU301" s="1"/>
      <c r="AV301" s="1"/>
      <c r="AW301" s="1"/>
      <c r="AX301" s="1"/>
      <c r="AY301" s="1"/>
    </row>
    <row r="302" spans="1:51" ht="18" customHeight="1" thickBot="1">
      <c r="A302" s="199"/>
      <c r="B302" s="393" t="s">
        <v>1276</v>
      </c>
      <c r="C302" s="392"/>
      <c r="D302" s="392"/>
      <c r="E302" s="392"/>
      <c r="F302" s="392"/>
      <c r="G302" s="1295" t="s">
        <v>1360</v>
      </c>
      <c r="H302" s="1296"/>
      <c r="I302" s="1296"/>
      <c r="J302" s="1296"/>
      <c r="K302" s="1296"/>
      <c r="L302" s="1296"/>
      <c r="M302" s="1297"/>
      <c r="N302" s="200"/>
      <c r="O302" s="199"/>
      <c r="P302" s="24"/>
      <c r="Q302" s="24"/>
      <c r="R302" s="398"/>
      <c r="S302" s="398"/>
      <c r="T302" s="398"/>
      <c r="U302" s="398"/>
      <c r="V302" s="398"/>
      <c r="W302" s="398"/>
      <c r="X302" s="398"/>
      <c r="Y302" s="398"/>
      <c r="Z302" s="398"/>
      <c r="AA302" s="398"/>
      <c r="AB302" s="200"/>
      <c r="AC302" s="1"/>
      <c r="AD302" s="1"/>
      <c r="AE302" s="1"/>
      <c r="AF302" s="1"/>
      <c r="AG302" s="1"/>
      <c r="AH302" s="1"/>
      <c r="AI302" s="1"/>
      <c r="AJ302" s="1"/>
      <c r="AK302" s="1"/>
      <c r="AL302" s="1"/>
      <c r="AM302" s="1"/>
      <c r="AN302" s="1"/>
      <c r="AO302" s="1"/>
      <c r="AP302" s="1"/>
      <c r="AQ302" s="1"/>
      <c r="AR302" s="1"/>
      <c r="AS302" s="1"/>
      <c r="AT302" s="1"/>
      <c r="AU302" s="1"/>
      <c r="AV302" s="1"/>
      <c r="AW302" s="1"/>
      <c r="AX302" s="1"/>
      <c r="AY302" s="1"/>
    </row>
    <row r="303" spans="1:51" ht="4.95" customHeight="1">
      <c r="A303" s="199"/>
      <c r="B303" s="24"/>
      <c r="C303" s="24"/>
      <c r="D303" s="24"/>
      <c r="E303" s="24"/>
      <c r="F303" s="24"/>
      <c r="G303" s="24"/>
      <c r="H303" s="24"/>
      <c r="I303" s="24"/>
      <c r="J303" s="24"/>
      <c r="K303" s="24"/>
      <c r="L303" s="24"/>
      <c r="M303" s="24"/>
      <c r="N303" s="200"/>
      <c r="O303" s="199"/>
      <c r="P303" s="24"/>
      <c r="Q303" s="24"/>
      <c r="R303" s="398"/>
      <c r="S303" s="398"/>
      <c r="T303" s="398"/>
      <c r="U303" s="398"/>
      <c r="V303" s="398"/>
      <c r="W303" s="398"/>
      <c r="X303" s="398"/>
      <c r="Y303" s="398"/>
      <c r="Z303" s="398"/>
      <c r="AA303" s="398"/>
      <c r="AB303" s="200"/>
      <c r="AC303" s="1"/>
      <c r="AD303" s="1"/>
      <c r="AE303" s="1"/>
      <c r="AF303" s="1"/>
      <c r="AG303" s="1"/>
      <c r="AH303" s="1"/>
      <c r="AI303" s="1"/>
      <c r="AJ303" s="1"/>
      <c r="AK303" s="1"/>
      <c r="AL303" s="1"/>
      <c r="AM303" s="1"/>
      <c r="AN303" s="1"/>
      <c r="AO303" s="1"/>
      <c r="AP303" s="1"/>
      <c r="AQ303" s="1"/>
      <c r="AR303" s="1"/>
      <c r="AS303" s="1"/>
      <c r="AT303" s="1"/>
      <c r="AU303" s="1"/>
      <c r="AV303" s="1"/>
      <c r="AW303" s="1"/>
      <c r="AX303" s="1"/>
      <c r="AY303" s="1"/>
    </row>
    <row r="304" spans="1:51" ht="19.95" customHeight="1">
      <c r="A304" s="199"/>
      <c r="B304" s="1277" t="s">
        <v>1703</v>
      </c>
      <c r="C304" s="1277"/>
      <c r="D304" s="1277"/>
      <c r="E304" s="1277"/>
      <c r="F304" s="1277"/>
      <c r="G304" s="1277"/>
      <c r="H304" s="1277"/>
      <c r="I304" s="1277"/>
      <c r="J304" s="1277"/>
      <c r="K304" s="1277"/>
      <c r="L304" s="1277"/>
      <c r="M304" s="1277"/>
      <c r="N304" s="200"/>
      <c r="O304" s="199"/>
      <c r="P304" s="24"/>
      <c r="Q304" s="24"/>
      <c r="R304" s="398"/>
      <c r="S304" s="398"/>
      <c r="T304" s="398"/>
      <c r="U304" s="398"/>
      <c r="V304" s="398"/>
      <c r="W304" s="398"/>
      <c r="X304" s="398"/>
      <c r="Y304" s="398"/>
      <c r="Z304" s="398"/>
      <c r="AA304" s="398"/>
      <c r="AB304" s="200"/>
      <c r="AC304" s="1"/>
      <c r="AD304" s="1"/>
      <c r="AE304" s="1"/>
      <c r="AF304" s="1"/>
      <c r="AG304" s="1"/>
      <c r="AH304" s="1"/>
      <c r="AI304" s="1"/>
      <c r="AJ304" s="1"/>
      <c r="AK304" s="1"/>
      <c r="AL304" s="1"/>
      <c r="AM304" s="1"/>
      <c r="AN304" s="1"/>
      <c r="AO304" s="1"/>
      <c r="AP304" s="1"/>
      <c r="AQ304" s="1"/>
      <c r="AR304" s="1"/>
      <c r="AS304" s="1"/>
      <c r="AT304" s="1"/>
      <c r="AU304" s="1"/>
      <c r="AV304" s="1"/>
      <c r="AW304" s="1"/>
      <c r="AX304" s="1"/>
      <c r="AY304" s="1"/>
    </row>
    <row r="305" spans="1:61" ht="19.95" customHeight="1">
      <c r="A305" s="199"/>
      <c r="B305" s="1277"/>
      <c r="C305" s="1277"/>
      <c r="D305" s="1277"/>
      <c r="E305" s="1277"/>
      <c r="F305" s="1277"/>
      <c r="G305" s="1277"/>
      <c r="H305" s="1277"/>
      <c r="I305" s="1277"/>
      <c r="J305" s="1277"/>
      <c r="K305" s="1277"/>
      <c r="L305" s="1277"/>
      <c r="M305" s="1277"/>
      <c r="N305" s="200"/>
      <c r="O305" s="199"/>
      <c r="P305" s="24"/>
      <c r="Q305" s="24"/>
      <c r="R305" s="398"/>
      <c r="S305" s="398"/>
      <c r="T305" s="398"/>
      <c r="U305" s="398"/>
      <c r="V305" s="398"/>
      <c r="W305" s="398"/>
      <c r="X305" s="398"/>
      <c r="Y305" s="398"/>
      <c r="Z305" s="398"/>
      <c r="AA305" s="398"/>
      <c r="AB305" s="200"/>
      <c r="AC305" s="1"/>
      <c r="AD305" s="1"/>
      <c r="AE305" s="1"/>
      <c r="AF305" s="1"/>
      <c r="AG305" s="1"/>
      <c r="AH305" s="1"/>
      <c r="AI305" s="1"/>
      <c r="AJ305" s="1"/>
      <c r="AK305" s="1"/>
      <c r="AL305" s="1"/>
      <c r="AM305" s="1"/>
      <c r="AN305" s="1"/>
      <c r="AO305" s="1"/>
      <c r="AP305" s="1"/>
      <c r="AQ305" s="1"/>
      <c r="AR305" s="1"/>
      <c r="AS305" s="1"/>
      <c r="AT305" s="1"/>
      <c r="AU305" s="1"/>
      <c r="AV305" s="1"/>
      <c r="AW305" s="1"/>
      <c r="AX305" s="1"/>
      <c r="AY305" s="1"/>
    </row>
    <row r="306" spans="1:61" ht="19.95" customHeight="1">
      <c r="A306" s="199"/>
      <c r="B306" s="1277"/>
      <c r="C306" s="1277"/>
      <c r="D306" s="1277"/>
      <c r="E306" s="1277"/>
      <c r="F306" s="1277"/>
      <c r="G306" s="1277"/>
      <c r="H306" s="1277"/>
      <c r="I306" s="1277"/>
      <c r="J306" s="1277"/>
      <c r="K306" s="1277"/>
      <c r="L306" s="1277"/>
      <c r="M306" s="1277"/>
      <c r="N306" s="200"/>
      <c r="O306" s="199"/>
      <c r="P306" s="24"/>
      <c r="Q306" s="24"/>
      <c r="R306" s="398"/>
      <c r="S306" s="398"/>
      <c r="T306" s="398"/>
      <c r="U306" s="398"/>
      <c r="V306" s="398"/>
      <c r="W306" s="398"/>
      <c r="X306" s="398"/>
      <c r="Y306" s="398"/>
      <c r="Z306" s="398"/>
      <c r="AA306" s="398"/>
      <c r="AB306" s="200"/>
      <c r="AC306" s="1"/>
      <c r="AD306" s="1"/>
      <c r="AE306" s="1"/>
      <c r="AF306" s="1"/>
      <c r="AG306" s="1"/>
      <c r="AH306" s="1"/>
      <c r="AI306" s="1"/>
      <c r="AJ306" s="1"/>
      <c r="AK306" s="1"/>
      <c r="AL306" s="1"/>
      <c r="AM306" s="1"/>
      <c r="AN306" s="1"/>
      <c r="AO306" s="1"/>
      <c r="AP306" s="1"/>
      <c r="AQ306" s="1"/>
      <c r="AR306" s="1"/>
      <c r="AS306" s="1"/>
      <c r="AT306" s="1"/>
      <c r="AU306" s="1"/>
      <c r="AV306" s="1"/>
      <c r="AW306" s="1"/>
      <c r="AX306" s="1"/>
      <c r="AY306" s="1"/>
    </row>
    <row r="307" spans="1:61" ht="19.95" customHeight="1">
      <c r="A307" s="199"/>
      <c r="B307" s="1277"/>
      <c r="C307" s="1277"/>
      <c r="D307" s="1277"/>
      <c r="E307" s="1277"/>
      <c r="F307" s="1277"/>
      <c r="G307" s="1277"/>
      <c r="H307" s="1277"/>
      <c r="I307" s="1277"/>
      <c r="J307" s="1277"/>
      <c r="K307" s="1277"/>
      <c r="L307" s="1277"/>
      <c r="M307" s="1277"/>
      <c r="N307" s="200"/>
      <c r="O307" s="199"/>
      <c r="P307" s="24"/>
      <c r="Q307" s="24"/>
      <c r="R307" s="398"/>
      <c r="S307" s="398"/>
      <c r="T307" s="398"/>
      <c r="U307" s="398"/>
      <c r="V307" s="398"/>
      <c r="W307" s="398"/>
      <c r="X307" s="398"/>
      <c r="Y307" s="398"/>
      <c r="Z307" s="398"/>
      <c r="AA307" s="398"/>
      <c r="AB307" s="200"/>
      <c r="AC307" s="1"/>
      <c r="AD307" s="1"/>
      <c r="AE307" s="1"/>
      <c r="AF307" s="1"/>
      <c r="AG307" s="1"/>
      <c r="AH307" s="1"/>
      <c r="AI307" s="1"/>
      <c r="AJ307" s="1"/>
      <c r="AK307" s="1"/>
      <c r="AL307" s="1"/>
      <c r="AM307" s="1"/>
      <c r="AN307" s="1"/>
      <c r="AO307" s="1"/>
      <c r="AP307" s="1"/>
      <c r="AQ307" s="1"/>
      <c r="AR307" s="1"/>
      <c r="AS307" s="1"/>
      <c r="AT307" s="1"/>
      <c r="AU307" s="1"/>
      <c r="AV307" s="1"/>
      <c r="AW307" s="1"/>
      <c r="AX307" s="1"/>
      <c r="AY307" s="1"/>
    </row>
    <row r="308" spans="1:61" ht="19.95" customHeight="1">
      <c r="A308" s="199"/>
      <c r="B308" s="1277"/>
      <c r="C308" s="1277"/>
      <c r="D308" s="1277"/>
      <c r="E308" s="1277"/>
      <c r="F308" s="1277"/>
      <c r="G308" s="1277"/>
      <c r="H308" s="1277"/>
      <c r="I308" s="1277"/>
      <c r="J308" s="1277"/>
      <c r="K308" s="1277"/>
      <c r="L308" s="1277"/>
      <c r="M308" s="1277"/>
      <c r="N308" s="200"/>
      <c r="O308" s="199"/>
      <c r="P308" s="24"/>
      <c r="Q308" s="24"/>
      <c r="R308" s="398"/>
      <c r="S308" s="398"/>
      <c r="T308" s="398"/>
      <c r="U308" s="398"/>
      <c r="V308" s="398"/>
      <c r="W308" s="398"/>
      <c r="X308" s="398"/>
      <c r="Y308" s="398"/>
      <c r="Z308" s="398"/>
      <c r="AA308" s="398"/>
      <c r="AB308" s="200"/>
      <c r="AC308" s="1"/>
      <c r="AD308" s="1"/>
      <c r="AE308" s="1"/>
      <c r="AF308" s="1"/>
      <c r="AG308" s="1"/>
      <c r="AH308" s="1"/>
      <c r="AI308" s="1"/>
      <c r="AJ308" s="1"/>
      <c r="AK308" s="1"/>
      <c r="AL308" s="1"/>
      <c r="AM308" s="1"/>
      <c r="AN308" s="1"/>
      <c r="AO308" s="1"/>
      <c r="AP308" s="1"/>
      <c r="AQ308" s="1"/>
      <c r="AR308" s="1"/>
      <c r="AS308" s="1"/>
      <c r="AT308" s="1"/>
      <c r="AU308" s="1"/>
      <c r="AV308" s="1"/>
      <c r="AW308" s="1"/>
      <c r="AX308" s="1"/>
      <c r="AY308" s="1"/>
    </row>
    <row r="309" spans="1:61" ht="19.95" customHeight="1">
      <c r="A309" s="199"/>
      <c r="B309" s="393" t="s">
        <v>1704</v>
      </c>
      <c r="C309" s="24"/>
      <c r="D309" s="24"/>
      <c r="E309" s="24"/>
      <c r="F309" s="24"/>
      <c r="G309" s="24"/>
      <c r="H309" s="24"/>
      <c r="I309" s="24"/>
      <c r="J309" s="24"/>
      <c r="K309" s="24"/>
      <c r="L309" s="24"/>
      <c r="M309" s="24"/>
      <c r="N309" s="200"/>
      <c r="O309" s="199"/>
      <c r="P309" s="24"/>
      <c r="Q309" s="24"/>
      <c r="R309" s="398"/>
      <c r="S309" s="398"/>
      <c r="T309" s="398"/>
      <c r="U309" s="398"/>
      <c r="V309" s="398"/>
      <c r="W309" s="398"/>
      <c r="X309" s="398"/>
      <c r="Y309" s="398"/>
      <c r="Z309" s="398"/>
      <c r="AA309" s="398"/>
      <c r="AB309" s="200"/>
      <c r="AC309" s="1"/>
      <c r="AD309" s="1"/>
      <c r="AE309" s="1"/>
      <c r="AF309" s="1"/>
      <c r="AG309" s="1"/>
      <c r="AH309" s="1"/>
      <c r="AI309" s="1"/>
      <c r="AJ309" s="1"/>
      <c r="AK309" s="1"/>
      <c r="AL309" s="1"/>
      <c r="AM309" s="1"/>
      <c r="AN309" s="1"/>
      <c r="AO309" s="1"/>
      <c r="AP309" s="1"/>
      <c r="AQ309" s="1"/>
      <c r="AR309" s="1"/>
      <c r="AS309" s="1"/>
      <c r="AT309" s="1"/>
      <c r="AU309" s="1"/>
      <c r="AV309" s="1"/>
      <c r="AW309" s="1"/>
      <c r="AX309" s="1"/>
      <c r="AY309" s="1"/>
    </row>
    <row r="310" spans="1:61" ht="19.95" customHeight="1">
      <c r="A310" s="199"/>
      <c r="B310" s="596" t="s">
        <v>1706</v>
      </c>
      <c r="C310" s="393"/>
      <c r="D310" s="24"/>
      <c r="E310" s="24"/>
      <c r="F310" s="470" t="s">
        <v>1709</v>
      </c>
      <c r="G310" s="24"/>
      <c r="H310" s="24"/>
      <c r="I310" s="24"/>
      <c r="J310" s="24"/>
      <c r="K310" s="24"/>
      <c r="L310" s="24"/>
      <c r="M310" s="24"/>
      <c r="N310" s="200"/>
      <c r="O310" s="199"/>
      <c r="P310" s="24"/>
      <c r="Q310" s="24"/>
      <c r="R310" s="398"/>
      <c r="S310" s="398"/>
      <c r="T310" s="398"/>
      <c r="U310" s="398"/>
      <c r="V310" s="398"/>
      <c r="W310" s="398"/>
      <c r="X310" s="398"/>
      <c r="Y310" s="398"/>
      <c r="Z310" s="398"/>
      <c r="AA310" s="398"/>
      <c r="AB310" s="200"/>
      <c r="AC310" s="1"/>
      <c r="AD310" s="1"/>
      <c r="AE310" s="1"/>
      <c r="AF310" s="1"/>
      <c r="AG310" s="1"/>
      <c r="AH310" s="1"/>
      <c r="AI310" s="1"/>
      <c r="AJ310" s="1"/>
      <c r="AK310" s="1"/>
      <c r="AL310" s="1"/>
      <c r="AM310" s="1"/>
      <c r="AN310" s="1"/>
      <c r="AO310" s="1"/>
      <c r="AP310" s="1"/>
      <c r="AQ310" s="1"/>
      <c r="AR310" s="1"/>
      <c r="AS310" s="1"/>
      <c r="AT310" s="1"/>
      <c r="AU310" s="1"/>
      <c r="AV310" s="1"/>
      <c r="AW310" s="1"/>
      <c r="AX310" s="1"/>
      <c r="AY310" s="1"/>
    </row>
    <row r="311" spans="1:61" ht="19.95" customHeight="1">
      <c r="A311" s="199"/>
      <c r="B311" s="596" t="s">
        <v>1707</v>
      </c>
      <c r="C311" s="393"/>
      <c r="D311" s="24"/>
      <c r="E311" s="24"/>
      <c r="F311" s="470" t="s">
        <v>1710</v>
      </c>
      <c r="G311" s="24"/>
      <c r="H311" s="24"/>
      <c r="I311" s="24"/>
      <c r="J311" s="24"/>
      <c r="K311" s="24"/>
      <c r="L311" s="24"/>
      <c r="M311" s="24"/>
      <c r="N311" s="200"/>
      <c r="O311" s="199"/>
      <c r="P311" s="24"/>
      <c r="Q311" s="24"/>
      <c r="R311" s="398"/>
      <c r="S311" s="398"/>
      <c r="T311" s="398"/>
      <c r="U311" s="398"/>
      <c r="V311" s="398"/>
      <c r="W311" s="398"/>
      <c r="X311" s="398"/>
      <c r="Y311" s="398"/>
      <c r="Z311" s="398"/>
      <c r="AA311" s="398"/>
      <c r="AB311" s="200"/>
      <c r="AC311" s="1"/>
      <c r="AD311" s="1"/>
      <c r="AE311" s="1"/>
      <c r="AF311" s="1"/>
      <c r="AG311" s="1"/>
      <c r="AH311" s="1"/>
      <c r="AI311" s="1"/>
      <c r="AJ311" s="1"/>
      <c r="AK311" s="1"/>
      <c r="AL311" s="1"/>
      <c r="AM311" s="1"/>
      <c r="AN311" s="1"/>
      <c r="AO311" s="1"/>
      <c r="AP311" s="1"/>
      <c r="AQ311" s="1"/>
      <c r="AR311" s="1"/>
      <c r="AS311" s="1"/>
      <c r="AT311" s="1"/>
      <c r="AU311" s="1"/>
      <c r="AV311" s="1"/>
      <c r="AW311" s="1"/>
      <c r="AX311" s="1"/>
      <c r="AY311" s="1"/>
    </row>
    <row r="312" spans="1:61" ht="19.95" customHeight="1">
      <c r="A312" s="199"/>
      <c r="B312" s="596" t="s">
        <v>1708</v>
      </c>
      <c r="C312" s="393"/>
      <c r="D312" s="24"/>
      <c r="E312" s="24"/>
      <c r="F312" s="470" t="s">
        <v>1711</v>
      </c>
      <c r="G312" s="24"/>
      <c r="H312" s="24"/>
      <c r="I312" s="24"/>
      <c r="J312" s="24"/>
      <c r="K312" s="24"/>
      <c r="L312" s="24"/>
      <c r="M312" s="24"/>
      <c r="N312" s="200"/>
      <c r="O312" s="199"/>
      <c r="P312" s="24"/>
      <c r="Q312" s="24"/>
      <c r="R312" s="398"/>
      <c r="S312" s="398"/>
      <c r="T312" s="398"/>
      <c r="U312" s="398"/>
      <c r="V312" s="398"/>
      <c r="W312" s="398"/>
      <c r="X312" s="398"/>
      <c r="Y312" s="398"/>
      <c r="Z312" s="398"/>
      <c r="AA312" s="398"/>
      <c r="AB312" s="200"/>
      <c r="AC312" s="1"/>
      <c r="AD312" s="1"/>
      <c r="AE312" s="1"/>
      <c r="AF312" s="1"/>
      <c r="AG312" s="1"/>
      <c r="AH312" s="1"/>
      <c r="AI312" s="1"/>
      <c r="AJ312" s="1"/>
      <c r="AK312" s="1"/>
      <c r="AL312" s="1"/>
      <c r="AM312" s="1"/>
      <c r="AN312" s="1"/>
      <c r="AO312" s="1"/>
      <c r="AP312" s="1"/>
      <c r="AQ312" s="1"/>
      <c r="AR312" s="1"/>
      <c r="AS312" s="1"/>
      <c r="AT312" s="1"/>
      <c r="AU312" s="1"/>
      <c r="AV312" s="1"/>
      <c r="AW312" s="1"/>
      <c r="AX312" s="1"/>
      <c r="AY312" s="1"/>
    </row>
    <row r="313" spans="1:61" ht="10.050000000000001" customHeight="1">
      <c r="A313" s="199"/>
      <c r="B313" s="24"/>
      <c r="C313" s="24"/>
      <c r="D313" s="24"/>
      <c r="E313" s="24"/>
      <c r="F313" s="24"/>
      <c r="G313" s="24"/>
      <c r="H313" s="24"/>
      <c r="I313" s="24"/>
      <c r="J313" s="24"/>
      <c r="K313" s="24"/>
      <c r="L313" s="24"/>
      <c r="M313" s="24"/>
      <c r="N313" s="200"/>
      <c r="O313" s="199"/>
      <c r="P313" s="24"/>
      <c r="Q313" s="24"/>
      <c r="R313" s="398"/>
      <c r="S313" s="398"/>
      <c r="T313" s="398"/>
      <c r="U313" s="398"/>
      <c r="V313" s="398"/>
      <c r="W313" s="398"/>
      <c r="X313" s="398"/>
      <c r="Y313" s="398"/>
      <c r="Z313" s="398"/>
      <c r="AA313" s="398"/>
      <c r="AB313" s="203"/>
      <c r="AC313" s="1"/>
      <c r="AD313" s="1"/>
      <c r="AE313" s="1"/>
      <c r="AF313" s="1"/>
      <c r="AG313" s="1"/>
      <c r="AH313" s="1"/>
      <c r="AI313" s="1"/>
      <c r="AJ313" s="1"/>
      <c r="AK313" s="1"/>
      <c r="AL313" s="1"/>
      <c r="AM313" s="1"/>
      <c r="AN313" s="1"/>
      <c r="AO313" s="1"/>
      <c r="AP313" s="1"/>
      <c r="AQ313" s="1"/>
      <c r="AR313" s="1"/>
      <c r="AS313" s="1"/>
      <c r="AT313" s="1"/>
      <c r="AU313" s="1"/>
      <c r="AV313" s="1"/>
      <c r="AW313" s="1"/>
      <c r="AX313" s="1"/>
      <c r="AY313" s="1"/>
    </row>
    <row r="314" spans="1:61" ht="30" customHeight="1">
      <c r="A314" s="210" t="s">
        <v>1148</v>
      </c>
      <c r="B314" s="399" t="s">
        <v>1280</v>
      </c>
      <c r="C314" s="582"/>
      <c r="D314" s="582"/>
      <c r="E314" s="583"/>
      <c r="F314" s="584"/>
      <c r="G314" s="582"/>
      <c r="H314" s="582"/>
      <c r="I314" s="582"/>
      <c r="J314" s="582"/>
      <c r="K314" s="582"/>
      <c r="L314" s="582"/>
      <c r="M314" s="373"/>
      <c r="N314" s="211" t="s">
        <v>1149</v>
      </c>
      <c r="O314" s="372"/>
      <c r="P314" s="374"/>
      <c r="Q314" s="373"/>
      <c r="R314" s="373"/>
      <c r="S314" s="373"/>
      <c r="T314" s="373"/>
      <c r="U314" s="373"/>
      <c r="V314" s="373"/>
      <c r="W314" s="373"/>
      <c r="X314" s="373"/>
      <c r="Y314" s="373"/>
      <c r="Z314" s="373"/>
      <c r="AA314" s="373"/>
      <c r="AB314" s="211" t="s">
        <v>1149</v>
      </c>
      <c r="AC314" s="577"/>
      <c r="AD314" s="1"/>
      <c r="AE314" s="577"/>
      <c r="AF314" s="577"/>
      <c r="AG314" s="577"/>
      <c r="AH314" s="577"/>
      <c r="AI314" s="577"/>
      <c r="AJ314" s="577"/>
      <c r="AK314" s="577"/>
      <c r="AL314" s="577"/>
      <c r="AM314" s="577"/>
      <c r="AN314" s="577"/>
      <c r="AO314" s="577"/>
      <c r="AP314" s="577"/>
      <c r="AQ314" s="577"/>
      <c r="AR314" s="577"/>
      <c r="AS314" s="577"/>
      <c r="AT314" s="577"/>
      <c r="AU314" s="577"/>
      <c r="AV314" s="577"/>
      <c r="AW314" s="577"/>
      <c r="AX314" s="577"/>
      <c r="AY314" s="577"/>
    </row>
    <row r="315" spans="1:61" ht="10.050000000000001" customHeight="1">
      <c r="A315" s="199"/>
      <c r="B315" s="24"/>
      <c r="C315" s="24"/>
      <c r="D315" s="24"/>
      <c r="E315" s="24"/>
      <c r="F315" s="24"/>
      <c r="G315" s="24"/>
      <c r="H315" s="24"/>
      <c r="I315" s="24"/>
      <c r="J315" s="24"/>
      <c r="K315" s="24"/>
      <c r="L315" s="24"/>
      <c r="M315" s="24"/>
      <c r="N315" s="200"/>
      <c r="O315" s="199"/>
      <c r="P315" s="24"/>
      <c r="Q315" s="24"/>
      <c r="R315" s="398"/>
      <c r="S315" s="398"/>
      <c r="T315" s="398"/>
      <c r="U315" s="398"/>
      <c r="V315" s="398"/>
      <c r="W315" s="398"/>
      <c r="X315" s="398"/>
      <c r="Y315" s="398"/>
      <c r="Z315" s="398"/>
      <c r="AA315" s="398"/>
      <c r="AB315" s="200"/>
      <c r="AC315" s="1"/>
      <c r="AD315" s="1"/>
      <c r="AE315" s="1"/>
      <c r="AF315" s="1"/>
      <c r="AG315" s="1"/>
      <c r="AH315" s="1"/>
      <c r="AI315" s="1"/>
      <c r="AJ315" s="1"/>
      <c r="AK315" s="1"/>
      <c r="AL315" s="1"/>
      <c r="AM315" s="1"/>
      <c r="AN315" s="1"/>
      <c r="AO315" s="1"/>
      <c r="AP315" s="1"/>
      <c r="AQ315" s="1"/>
      <c r="AR315" s="1"/>
      <c r="AS315" s="1"/>
      <c r="AT315" s="1"/>
      <c r="AU315" s="1"/>
      <c r="AV315" s="1"/>
      <c r="AW315" s="1"/>
      <c r="AX315" s="1"/>
      <c r="AY315" s="1"/>
    </row>
    <row r="316" spans="1:61" ht="19.95" customHeight="1">
      <c r="A316" s="199"/>
      <c r="B316" s="588" t="s">
        <v>1588</v>
      </c>
      <c r="C316" s="24"/>
      <c r="D316" s="24"/>
      <c r="E316" s="24"/>
      <c r="F316" s="24"/>
      <c r="G316" s="24"/>
      <c r="H316" s="24"/>
      <c r="I316" s="24"/>
      <c r="J316" s="24"/>
      <c r="K316" s="24"/>
      <c r="L316" s="24"/>
      <c r="M316" s="24"/>
      <c r="N316" s="200"/>
      <c r="O316" s="199"/>
      <c r="P316" s="24"/>
      <c r="Q316" s="24"/>
      <c r="R316" s="398"/>
      <c r="S316" s="398"/>
      <c r="T316" s="398"/>
      <c r="U316" s="398"/>
      <c r="V316" s="398"/>
      <c r="W316" s="398"/>
      <c r="X316" s="398"/>
      <c r="Y316" s="398"/>
      <c r="Z316" s="398"/>
      <c r="AA316" s="398"/>
      <c r="AB316" s="200"/>
      <c r="AC316" s="1"/>
      <c r="AD316" s="1"/>
      <c r="AE316" s="1"/>
      <c r="AF316" s="1"/>
      <c r="AG316" s="1"/>
      <c r="AH316" s="1"/>
      <c r="AI316" s="1"/>
      <c r="AJ316" s="1"/>
      <c r="AK316" s="1"/>
      <c r="AL316" s="1"/>
      <c r="AM316" s="1"/>
      <c r="AN316" s="1"/>
      <c r="AO316" s="1"/>
      <c r="AP316" s="1"/>
      <c r="AQ316" s="1"/>
      <c r="AR316" s="1"/>
      <c r="AS316" s="1"/>
      <c r="AT316" s="1"/>
      <c r="AU316" s="1"/>
      <c r="AV316" s="1"/>
      <c r="AW316" s="1"/>
      <c r="AX316" s="1"/>
      <c r="AY316" s="1"/>
    </row>
    <row r="317" spans="1:61" ht="10.050000000000001" customHeight="1">
      <c r="A317" s="199"/>
      <c r="B317" s="397"/>
      <c r="C317" s="24"/>
      <c r="D317" s="24"/>
      <c r="E317" s="24"/>
      <c r="F317" s="24"/>
      <c r="G317" s="24"/>
      <c r="H317" s="24"/>
      <c r="I317" s="24"/>
      <c r="J317" s="24"/>
      <c r="K317" s="24"/>
      <c r="L317" s="24"/>
      <c r="M317" s="24"/>
      <c r="N317" s="200"/>
      <c r="O317" s="199"/>
      <c r="P317" s="24"/>
      <c r="Q317" s="24"/>
      <c r="R317" s="398"/>
      <c r="S317" s="398"/>
      <c r="T317" s="398"/>
      <c r="U317" s="398"/>
      <c r="V317" s="398"/>
      <c r="W317" s="398"/>
      <c r="X317" s="398"/>
      <c r="Y317" s="398"/>
      <c r="Z317" s="398"/>
      <c r="AA317" s="398"/>
      <c r="AB317" s="200"/>
      <c r="AC317" s="1"/>
      <c r="AD317" s="1"/>
      <c r="AE317" s="1"/>
      <c r="AF317" s="1"/>
      <c r="AG317" s="1"/>
      <c r="AH317" s="1"/>
      <c r="AI317" s="1"/>
      <c r="AJ317" s="1"/>
      <c r="AK317" s="1"/>
      <c r="AL317" s="1"/>
      <c r="AM317" s="1"/>
      <c r="AN317" s="1"/>
      <c r="AO317" s="1"/>
      <c r="AP317" s="1"/>
      <c r="AQ317" s="1"/>
      <c r="AR317" s="1"/>
      <c r="AS317" s="1"/>
      <c r="AT317" s="1"/>
      <c r="AU317" s="1"/>
      <c r="AV317" s="1"/>
      <c r="AW317" s="1"/>
      <c r="AX317" s="1"/>
      <c r="AY317" s="1"/>
    </row>
    <row r="318" spans="1:61" ht="21" customHeight="1">
      <c r="A318" s="199"/>
      <c r="B318" s="24"/>
      <c r="C318" s="24"/>
      <c r="D318" s="24"/>
      <c r="E318" s="1306" t="str">
        <f>BF318</f>
        <v>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The more your client generalizes to ease the pain of such needs, the less these needs resolve. Their public facing needs will continue to provoke more pain.</v>
      </c>
      <c r="F318" s="1306"/>
      <c r="G318" s="1306"/>
      <c r="H318" s="1306"/>
      <c r="I318" s="1306"/>
      <c r="J318" s="1306"/>
      <c r="K318" s="1306"/>
      <c r="L318" s="1306"/>
      <c r="M318" s="1306"/>
      <c r="N318" s="200"/>
      <c r="O318" s="199"/>
      <c r="P318" s="24"/>
      <c r="Q318" s="24"/>
      <c r="R318" s="398"/>
      <c r="S318" s="398"/>
      <c r="T318" s="398"/>
      <c r="U318" s="398"/>
      <c r="V318" s="398"/>
      <c r="W318" s="398"/>
      <c r="X318" s="398"/>
      <c r="Y318" s="398"/>
      <c r="Z318" s="398"/>
      <c r="AA318" s="398"/>
      <c r="AB318" s="200"/>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BF318" s="459" t="str">
        <f>CONCATENATE(BH318,BI318,BJ318)</f>
        <v>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The more your client generalizes to ease the pain of such needs, the less these needs resolve. Their public facing needs will continue to provoke more pain.</v>
      </c>
      <c r="BH318" s="409" t="s">
        <v>1810</v>
      </c>
      <c r="BI318" s="46" t="str">
        <f>IF((E1165+1155)&gt;1,BI319,BI320)</f>
        <v>The more your client generalizes to ease the pain of such needs, the less these needs resolve. Their public facing needs will continue to provoke more pain.</v>
      </c>
    </row>
    <row r="319" spans="1:61" ht="21" customHeight="1">
      <c r="A319" s="199"/>
      <c r="B319" s="24"/>
      <c r="C319" s="24"/>
      <c r="D319" s="24"/>
      <c r="E319" s="1306"/>
      <c r="F319" s="1306"/>
      <c r="G319" s="1306"/>
      <c r="H319" s="1306"/>
      <c r="I319" s="1306"/>
      <c r="J319" s="1306"/>
      <c r="K319" s="1306"/>
      <c r="L319" s="1306"/>
      <c r="M319" s="1306"/>
      <c r="N319" s="200"/>
      <c r="O319" s="199"/>
      <c r="P319" s="24"/>
      <c r="Q319" s="24"/>
      <c r="R319" s="398"/>
      <c r="S319" s="398"/>
      <c r="T319" s="398"/>
      <c r="U319" s="398"/>
      <c r="V319" s="398"/>
      <c r="W319" s="398"/>
      <c r="X319" s="398"/>
      <c r="Y319" s="398"/>
      <c r="Z319" s="398"/>
      <c r="AA319" s="398"/>
      <c r="AB319" s="200"/>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BI319" s="46" t="s">
        <v>1811</v>
      </c>
    </row>
    <row r="320" spans="1:61" ht="21" customHeight="1">
      <c r="A320" s="199"/>
      <c r="B320" s="24"/>
      <c r="C320" s="24"/>
      <c r="D320" s="24"/>
      <c r="E320" s="1306"/>
      <c r="F320" s="1306"/>
      <c r="G320" s="1306"/>
      <c r="H320" s="1306"/>
      <c r="I320" s="1306"/>
      <c r="J320" s="1306"/>
      <c r="K320" s="1306"/>
      <c r="L320" s="1306"/>
      <c r="M320" s="1306"/>
      <c r="N320" s="200"/>
      <c r="O320" s="199"/>
      <c r="P320" s="24"/>
      <c r="Q320" s="24"/>
      <c r="R320" s="398"/>
      <c r="S320" s="398"/>
      <c r="T320" s="398"/>
      <c r="U320" s="398"/>
      <c r="V320" s="398"/>
      <c r="W320" s="398"/>
      <c r="X320" s="398"/>
      <c r="Y320" s="398"/>
      <c r="Z320" s="398"/>
      <c r="AA320" s="398"/>
      <c r="AB320" s="200"/>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BH320" s="2" t="str">
        <f>G1165</f>
        <v>prone to…</v>
      </c>
      <c r="BI320" s="46" t="s">
        <v>1812</v>
      </c>
    </row>
    <row r="321" spans="1:68" ht="21" customHeight="1">
      <c r="A321" s="199"/>
      <c r="B321" s="24"/>
      <c r="C321" s="24"/>
      <c r="D321" s="24"/>
      <c r="E321" s="1306"/>
      <c r="F321" s="1306"/>
      <c r="G321" s="1306"/>
      <c r="H321" s="1306"/>
      <c r="I321" s="1306"/>
      <c r="J321" s="1306"/>
      <c r="K321" s="1306"/>
      <c r="L321" s="1306"/>
      <c r="M321" s="1306"/>
      <c r="N321" s="200"/>
      <c r="O321" s="199"/>
      <c r="P321" s="24"/>
      <c r="Q321" s="24"/>
      <c r="R321" s="398"/>
      <c r="S321" s="398"/>
      <c r="T321" s="398"/>
      <c r="U321" s="398"/>
      <c r="V321" s="398"/>
      <c r="W321" s="398"/>
      <c r="X321" s="398"/>
      <c r="Y321" s="398"/>
      <c r="Z321" s="398"/>
      <c r="AA321" s="398"/>
      <c r="AB321" s="200"/>
      <c r="AC321" s="1"/>
      <c r="AD321" s="1"/>
      <c r="AE321" s="1"/>
      <c r="AF321" s="1"/>
      <c r="AG321" s="1"/>
      <c r="AH321" s="1"/>
      <c r="AI321" s="1"/>
      <c r="AJ321" s="1"/>
      <c r="AK321" s="1"/>
      <c r="AL321" s="1"/>
      <c r="AM321" s="1"/>
      <c r="AN321" s="1"/>
      <c r="AO321" s="1"/>
      <c r="AP321" s="1"/>
      <c r="AQ321" s="1"/>
      <c r="AR321" s="1"/>
      <c r="AS321" s="1"/>
      <c r="AT321" s="1"/>
      <c r="AU321" s="1"/>
      <c r="AV321" s="1"/>
      <c r="AW321" s="1"/>
      <c r="AX321" s="1"/>
      <c r="AY321" s="1"/>
    </row>
    <row r="322" spans="1:68" ht="21" customHeight="1">
      <c r="A322" s="199"/>
      <c r="B322" s="24"/>
      <c r="C322" s="24"/>
      <c r="D322" s="24"/>
      <c r="E322" s="1306"/>
      <c r="F322" s="1306"/>
      <c r="G322" s="1306"/>
      <c r="H322" s="1306"/>
      <c r="I322" s="1306"/>
      <c r="J322" s="1306"/>
      <c r="K322" s="1306"/>
      <c r="L322" s="1306"/>
      <c r="M322" s="1306"/>
      <c r="N322" s="200"/>
      <c r="O322" s="199"/>
      <c r="P322" s="24"/>
      <c r="Q322" s="24"/>
      <c r="R322" s="398"/>
      <c r="S322" s="398"/>
      <c r="T322" s="398"/>
      <c r="U322" s="398"/>
      <c r="V322" s="398"/>
      <c r="W322" s="398"/>
      <c r="X322" s="398"/>
      <c r="Y322" s="398"/>
      <c r="Z322" s="398"/>
      <c r="AA322" s="398"/>
      <c r="AB322" s="200"/>
      <c r="AC322" s="1"/>
      <c r="AD322" s="1"/>
      <c r="AE322" s="1"/>
      <c r="AF322" s="1"/>
      <c r="AG322" s="1"/>
      <c r="AH322" s="1"/>
      <c r="AI322" s="1"/>
      <c r="AJ322" s="1"/>
      <c r="AK322" s="1"/>
      <c r="AL322" s="1"/>
      <c r="AM322" s="1"/>
      <c r="AN322" s="1"/>
      <c r="AO322" s="1"/>
      <c r="AP322" s="1"/>
      <c r="AQ322" s="1"/>
      <c r="AR322" s="1"/>
      <c r="AS322" s="1"/>
      <c r="AT322" s="1"/>
      <c r="AU322" s="1"/>
      <c r="AV322" s="1"/>
      <c r="AW322" s="1"/>
      <c r="AX322" s="1"/>
      <c r="AY322" s="1"/>
    </row>
    <row r="323" spans="1:68" ht="21" customHeight="1">
      <c r="A323" s="199"/>
      <c r="B323" s="24"/>
      <c r="C323" s="24"/>
      <c r="D323" s="24"/>
      <c r="E323" s="1306"/>
      <c r="F323" s="1306"/>
      <c r="G323" s="1306"/>
      <c r="H323" s="1306"/>
      <c r="I323" s="1306"/>
      <c r="J323" s="1306"/>
      <c r="K323" s="1306"/>
      <c r="L323" s="1306"/>
      <c r="M323" s="1306"/>
      <c r="N323" s="200"/>
      <c r="O323" s="199"/>
      <c r="P323" s="24"/>
      <c r="Q323" s="24"/>
      <c r="R323" s="398"/>
      <c r="S323" s="398"/>
      <c r="T323" s="398"/>
      <c r="U323" s="398"/>
      <c r="V323" s="398"/>
      <c r="W323" s="398"/>
      <c r="X323" s="398"/>
      <c r="Y323" s="398"/>
      <c r="Z323" s="398"/>
      <c r="AA323" s="398"/>
      <c r="AB323" s="200"/>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BF323" s="459" t="str">
        <f>IF(OR($I$1094=0,$I$1096=0,$B$1124=""),BH323,BF325)</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BH323" s="465" t="s">
        <v>1817</v>
      </c>
    </row>
    <row r="324" spans="1:68" ht="4.95" customHeight="1">
      <c r="A324" s="199"/>
      <c r="B324" s="24"/>
      <c r="C324" s="24"/>
      <c r="D324" s="24"/>
      <c r="E324" s="24"/>
      <c r="F324" s="24"/>
      <c r="G324" s="24"/>
      <c r="H324" s="24"/>
      <c r="I324" s="24"/>
      <c r="J324" s="24"/>
      <c r="K324" s="24"/>
      <c r="L324" s="24"/>
      <c r="M324" s="24"/>
      <c r="N324" s="200"/>
      <c r="O324" s="199"/>
      <c r="P324" s="24"/>
      <c r="Q324" s="24"/>
      <c r="R324" s="398"/>
      <c r="S324" s="398"/>
      <c r="T324" s="398"/>
      <c r="U324" s="398"/>
      <c r="V324" s="398"/>
      <c r="W324" s="398"/>
      <c r="X324" s="398"/>
      <c r="Y324" s="398"/>
      <c r="Z324" s="398"/>
      <c r="AA324" s="398"/>
      <c r="AB324" s="200"/>
      <c r="AC324" s="1"/>
      <c r="AD324" s="1"/>
      <c r="AE324" s="1"/>
      <c r="AF324" s="1"/>
      <c r="AG324" s="1"/>
      <c r="AH324" s="1"/>
      <c r="AI324" s="1"/>
      <c r="AJ324" s="1"/>
      <c r="AK324" s="1"/>
      <c r="AL324" s="1"/>
      <c r="AM324" s="1"/>
      <c r="AN324" s="1"/>
      <c r="AO324" s="1"/>
      <c r="AP324" s="1"/>
      <c r="AQ324" s="1"/>
      <c r="AR324" s="1"/>
      <c r="AS324" s="1"/>
      <c r="AT324" s="1"/>
      <c r="AU324" s="1"/>
      <c r="AV324" s="1"/>
      <c r="AW324" s="1"/>
      <c r="AX324" s="1"/>
      <c r="AY324" s="1"/>
    </row>
    <row r="325" spans="1:68" ht="22.05" customHeight="1">
      <c r="A325" s="199"/>
      <c r="B325" s="1277" t="str">
        <f>BF323</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C325" s="1277"/>
      <c r="D325" s="1277"/>
      <c r="E325" s="1277"/>
      <c r="F325" s="1277"/>
      <c r="G325" s="1277"/>
      <c r="H325" s="1277"/>
      <c r="I325" s="1277"/>
      <c r="J325" s="1277"/>
      <c r="K325" s="1277"/>
      <c r="L325" s="1277"/>
      <c r="M325" s="1277"/>
      <c r="N325" s="200"/>
      <c r="O325" s="199"/>
      <c r="P325" s="24"/>
      <c r="Q325" s="24"/>
      <c r="R325" s="398"/>
      <c r="S325" s="398"/>
      <c r="T325" s="398"/>
      <c r="U325" s="398"/>
      <c r="V325" s="398"/>
      <c r="W325" s="398"/>
      <c r="X325" s="398"/>
      <c r="Y325" s="398"/>
      <c r="Z325" s="398"/>
      <c r="AA325" s="398"/>
      <c r="AB325" s="200"/>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BF325" s="459" t="str">
        <f>CONCATENATE(BH325,BI325,BJ325,BK325,BL325,BM325,BN325,BO325,BL326,BM326,BN326,BO326)</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BH325" s="409" t="s">
        <v>1630</v>
      </c>
      <c r="BI325" s="2" t="str">
        <f>BE1123</f>
        <v>for secure borders</v>
      </c>
      <c r="BJ325" s="409" t="s">
        <v>1631</v>
      </c>
      <c r="BK325" s="2" t="str">
        <f>BI325</f>
        <v>for secure borders</v>
      </c>
      <c r="BL325" s="409" t="s">
        <v>1869</v>
      </c>
      <c r="BM325" s="2" t="str">
        <f>BF1123</f>
        <v>for freedom of movement</v>
      </c>
      <c r="BN325" s="409" t="s">
        <v>1632</v>
      </c>
      <c r="BO325" s="2" t="str">
        <f>BE1122</f>
        <v>for freedom of movement</v>
      </c>
    </row>
    <row r="326" spans="1:68" ht="22.05" customHeight="1">
      <c r="A326" s="199"/>
      <c r="B326" s="1277"/>
      <c r="C326" s="1277"/>
      <c r="D326" s="1277"/>
      <c r="E326" s="1277"/>
      <c r="F326" s="1277"/>
      <c r="G326" s="1277"/>
      <c r="H326" s="1277"/>
      <c r="I326" s="1277"/>
      <c r="J326" s="1277"/>
      <c r="K326" s="1277"/>
      <c r="L326" s="1277"/>
      <c r="M326" s="1277"/>
      <c r="N326" s="200"/>
      <c r="O326" s="199"/>
      <c r="P326" s="24"/>
      <c r="Q326" s="24"/>
      <c r="R326" s="398"/>
      <c r="S326" s="398"/>
      <c r="T326" s="398"/>
      <c r="U326" s="398"/>
      <c r="V326" s="398"/>
      <c r="W326" s="398"/>
      <c r="X326" s="398"/>
      <c r="Y326" s="398"/>
      <c r="Z326" s="398"/>
      <c r="AA326" s="398"/>
      <c r="AB326" s="200"/>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BI326" s="574" t="s">
        <v>1818</v>
      </c>
      <c r="BL326" s="409" t="s">
        <v>1631</v>
      </c>
      <c r="BM326" s="2" t="str">
        <f>BO325</f>
        <v>for freedom of movement</v>
      </c>
      <c r="BN326" s="410" t="s">
        <v>1022</v>
      </c>
      <c r="BO326" s="46" t="str">
        <f>IF(E1094=E1096,BI326,BI327)</f>
        <v>Your contrasting outlook could result in some transference and countertransference. You risk provoking your client's defensiveness instead of understanding how they experience their publicly affected needs. You mitigate by detaching from generalizing.</v>
      </c>
    </row>
    <row r="327" spans="1:68" ht="22.05" customHeight="1">
      <c r="A327" s="199"/>
      <c r="B327" s="1277"/>
      <c r="C327" s="1277"/>
      <c r="D327" s="1277"/>
      <c r="E327" s="1277"/>
      <c r="F327" s="1277"/>
      <c r="G327" s="1277"/>
      <c r="H327" s="1277"/>
      <c r="I327" s="1277"/>
      <c r="J327" s="1277"/>
      <c r="K327" s="1277"/>
      <c r="L327" s="1277"/>
      <c r="M327" s="1277"/>
      <c r="N327" s="200"/>
      <c r="O327" s="199"/>
      <c r="P327" s="24"/>
      <c r="Q327" s="24"/>
      <c r="R327" s="398"/>
      <c r="S327" s="398"/>
      <c r="T327" s="398"/>
      <c r="U327" s="398"/>
      <c r="V327" s="398"/>
      <c r="W327" s="398"/>
      <c r="X327" s="398"/>
      <c r="Y327" s="398"/>
      <c r="Z327" s="398"/>
      <c r="AA327" s="398"/>
      <c r="AB327" s="200"/>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BI327" s="574" t="s">
        <v>1819</v>
      </c>
    </row>
    <row r="328" spans="1:68" ht="22.05" customHeight="1">
      <c r="A328" s="199"/>
      <c r="B328" s="1277"/>
      <c r="C328" s="1277"/>
      <c r="D328" s="1277"/>
      <c r="E328" s="1277"/>
      <c r="F328" s="1277"/>
      <c r="G328" s="1277"/>
      <c r="H328" s="1277"/>
      <c r="I328" s="1277"/>
      <c r="J328" s="1277"/>
      <c r="K328" s="1277"/>
      <c r="L328" s="1277"/>
      <c r="M328" s="1277"/>
      <c r="N328" s="200"/>
      <c r="O328" s="199"/>
      <c r="P328" s="24"/>
      <c r="Q328" s="24"/>
      <c r="R328" s="398"/>
      <c r="S328" s="398"/>
      <c r="T328" s="398"/>
      <c r="U328" s="398"/>
      <c r="V328" s="398"/>
      <c r="W328" s="398"/>
      <c r="X328" s="398"/>
      <c r="Y328" s="398"/>
      <c r="Z328" s="398"/>
      <c r="AA328" s="398"/>
      <c r="AB328" s="200"/>
      <c r="AC328" s="1"/>
      <c r="AD328" s="1"/>
      <c r="AE328" s="1"/>
      <c r="AF328" s="1"/>
      <c r="AG328" s="1"/>
      <c r="AH328" s="1"/>
      <c r="AI328" s="1"/>
      <c r="AJ328" s="1"/>
      <c r="AK328" s="1"/>
      <c r="AL328" s="1"/>
      <c r="AM328" s="1"/>
      <c r="AN328" s="1"/>
      <c r="AO328" s="1"/>
      <c r="AP328" s="1"/>
      <c r="AQ328" s="1"/>
      <c r="AR328" s="1"/>
      <c r="AS328" s="1"/>
      <c r="AT328" s="1"/>
      <c r="AU328" s="1"/>
      <c r="AV328" s="1"/>
      <c r="AW328" s="1"/>
      <c r="AX328" s="1"/>
      <c r="AY328" s="1"/>
    </row>
    <row r="329" spans="1:68" ht="22.05" customHeight="1">
      <c r="A329" s="199"/>
      <c r="B329" s="1277"/>
      <c r="C329" s="1277"/>
      <c r="D329" s="1277"/>
      <c r="E329" s="1277"/>
      <c r="F329" s="1277"/>
      <c r="G329" s="1277"/>
      <c r="H329" s="1277"/>
      <c r="I329" s="1277"/>
      <c r="J329" s="1277"/>
      <c r="K329" s="1277"/>
      <c r="L329" s="1277"/>
      <c r="M329" s="1277"/>
      <c r="N329" s="200"/>
      <c r="O329" s="199"/>
      <c r="P329" s="24"/>
      <c r="Q329" s="24"/>
      <c r="R329" s="398"/>
      <c r="S329" s="398"/>
      <c r="T329" s="398"/>
      <c r="U329" s="398"/>
      <c r="V329" s="398"/>
      <c r="W329" s="398"/>
      <c r="X329" s="398"/>
      <c r="Y329" s="398"/>
      <c r="Z329" s="398"/>
      <c r="AA329" s="398"/>
      <c r="AB329" s="200"/>
      <c r="AC329" s="1"/>
      <c r="AD329" s="1"/>
      <c r="AE329" s="1"/>
      <c r="AF329" s="1"/>
      <c r="AG329" s="1"/>
      <c r="AH329" s="1"/>
      <c r="AI329" s="1"/>
      <c r="AJ329" s="1"/>
      <c r="AK329" s="1"/>
      <c r="AL329" s="1"/>
      <c r="AM329" s="1"/>
      <c r="AN329" s="1"/>
      <c r="AO329" s="1"/>
      <c r="AP329" s="1"/>
      <c r="AQ329" s="1"/>
      <c r="AR329" s="1"/>
      <c r="AS329" s="1"/>
      <c r="AT329" s="1"/>
      <c r="AU329" s="1"/>
      <c r="AV329" s="1"/>
      <c r="AW329" s="1"/>
      <c r="AX329" s="1"/>
      <c r="AY329" s="1"/>
    </row>
    <row r="330" spans="1:68" ht="22.05" customHeight="1">
      <c r="A330" s="199"/>
      <c r="B330" s="1277"/>
      <c r="C330" s="1277"/>
      <c r="D330" s="1277"/>
      <c r="E330" s="1277"/>
      <c r="F330" s="1277"/>
      <c r="G330" s="1277"/>
      <c r="H330" s="1277"/>
      <c r="I330" s="1277"/>
      <c r="J330" s="1277"/>
      <c r="K330" s="1277"/>
      <c r="L330" s="1277"/>
      <c r="M330" s="1277"/>
      <c r="N330" s="200"/>
      <c r="O330" s="199"/>
      <c r="P330" s="24"/>
      <c r="Q330" s="24"/>
      <c r="R330" s="398"/>
      <c r="S330" s="398"/>
      <c r="T330" s="398"/>
      <c r="U330" s="398"/>
      <c r="V330" s="398"/>
      <c r="W330" s="398"/>
      <c r="X330" s="398"/>
      <c r="Y330" s="398"/>
      <c r="Z330" s="398"/>
      <c r="AA330" s="398"/>
      <c r="AB330" s="200"/>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BF330" s="459" t="str">
        <f>IF(OR($I$1094=0,$B$1124=""),BH330,BF332)</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BH330" s="465" t="s">
        <v>1820</v>
      </c>
    </row>
    <row r="331" spans="1:68" ht="4.95" customHeight="1">
      <c r="A331" s="199"/>
      <c r="B331" s="24"/>
      <c r="C331" s="24"/>
      <c r="D331" s="24"/>
      <c r="E331" s="24"/>
      <c r="F331" s="24"/>
      <c r="G331" s="24"/>
      <c r="H331" s="24"/>
      <c r="I331" s="24"/>
      <c r="J331" s="24"/>
      <c r="K331" s="24"/>
      <c r="L331" s="24"/>
      <c r="M331" s="24"/>
      <c r="N331" s="200"/>
      <c r="O331" s="199"/>
      <c r="P331" s="24"/>
      <c r="Q331" s="24"/>
      <c r="R331" s="398"/>
      <c r="S331" s="398"/>
      <c r="T331" s="398"/>
      <c r="U331" s="398"/>
      <c r="V331" s="398"/>
      <c r="W331" s="398"/>
      <c r="X331" s="398"/>
      <c r="Y331" s="398"/>
      <c r="Z331" s="398"/>
      <c r="AA331" s="398"/>
      <c r="AB331" s="200"/>
      <c r="AC331" s="1"/>
      <c r="AD331" s="1"/>
      <c r="AE331" s="1"/>
      <c r="AF331" s="1"/>
      <c r="AG331" s="1"/>
      <c r="AH331" s="1"/>
      <c r="AI331" s="1"/>
      <c r="AJ331" s="1"/>
      <c r="AK331" s="1"/>
      <c r="AL331" s="1"/>
      <c r="AM331" s="1"/>
      <c r="AN331" s="1"/>
      <c r="AO331" s="1"/>
      <c r="AP331" s="1"/>
      <c r="AQ331" s="1"/>
      <c r="AR331" s="1"/>
      <c r="AS331" s="1"/>
      <c r="AT331" s="1"/>
      <c r="AU331" s="1"/>
      <c r="AV331" s="1"/>
      <c r="AW331" s="1"/>
      <c r="AX331" s="1"/>
      <c r="AY331" s="1"/>
    </row>
    <row r="332" spans="1:68" ht="24" customHeight="1">
      <c r="A332" s="199"/>
      <c r="B332" s="1277" t="str">
        <f>BF330</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C332" s="1277"/>
      <c r="D332" s="1277"/>
      <c r="E332" s="1277"/>
      <c r="F332" s="1277"/>
      <c r="G332" s="1277"/>
      <c r="H332" s="1277"/>
      <c r="I332" s="1277"/>
      <c r="J332" s="1277"/>
      <c r="K332" s="1277"/>
      <c r="L332" s="1277"/>
      <c r="M332" s="1277"/>
      <c r="N332" s="200"/>
      <c r="O332" s="199"/>
      <c r="P332" s="24"/>
      <c r="Q332" s="24"/>
      <c r="R332" s="398"/>
      <c r="S332" s="398"/>
      <c r="T332" s="398"/>
      <c r="U332" s="398"/>
      <c r="V332" s="398"/>
      <c r="W332" s="398"/>
      <c r="X332" s="398"/>
      <c r="Y332" s="398"/>
      <c r="Z332" s="398"/>
      <c r="AA332" s="398"/>
      <c r="AB332" s="200"/>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BF332" s="459" t="str">
        <f>CONCATENATE(BH332,BI332,BJ332,BK332,BL332,BM332,BN332,BO332,BP332)</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BH332" s="465" t="s">
        <v>1639</v>
      </c>
      <c r="BI332" s="2" t="str">
        <f>P1122</f>
        <v>poor immigrants</v>
      </c>
      <c r="BJ332" s="465" t="s">
        <v>1640</v>
      </c>
      <c r="BK332" s="2" t="str">
        <f>Q1122</f>
        <v>U.S. citizens</v>
      </c>
      <c r="BL332" s="465" t="s">
        <v>1641</v>
      </c>
      <c r="BM332" s="2" t="str">
        <f>R1122</f>
        <v>help all immigrants</v>
      </c>
      <c r="BN332" s="465" t="s">
        <v>1642</v>
      </c>
      <c r="BO332" s="2" t="str">
        <f>S1122</f>
        <v>build a wall</v>
      </c>
      <c r="BP332" s="466" t="s">
        <v>1768</v>
      </c>
    </row>
    <row r="333" spans="1:68" ht="24" customHeight="1">
      <c r="A333" s="199"/>
      <c r="B333" s="1277"/>
      <c r="C333" s="1277"/>
      <c r="D333" s="1277"/>
      <c r="E333" s="1277"/>
      <c r="F333" s="1277"/>
      <c r="G333" s="1277"/>
      <c r="H333" s="1277"/>
      <c r="I333" s="1277"/>
      <c r="J333" s="1277"/>
      <c r="K333" s="1277"/>
      <c r="L333" s="1277"/>
      <c r="M333" s="1277"/>
      <c r="N333" s="200"/>
      <c r="O333" s="199"/>
      <c r="P333" s="24"/>
      <c r="Q333" s="24"/>
      <c r="R333" s="398"/>
      <c r="S333" s="398"/>
      <c r="T333" s="398"/>
      <c r="U333" s="398"/>
      <c r="V333" s="398"/>
      <c r="W333" s="398"/>
      <c r="X333" s="398"/>
      <c r="Y333" s="398"/>
      <c r="Z333" s="398"/>
      <c r="AA333" s="398"/>
      <c r="AB333" s="200"/>
      <c r="AC333" s="1"/>
      <c r="AD333" s="1"/>
      <c r="AE333" s="1"/>
      <c r="AF333" s="1"/>
      <c r="AG333" s="1"/>
      <c r="AH333" s="1"/>
      <c r="AI333" s="1"/>
      <c r="AJ333" s="1"/>
      <c r="AK333" s="1"/>
      <c r="AL333" s="1"/>
      <c r="AM333" s="1"/>
      <c r="AN333" s="1"/>
      <c r="AO333" s="1"/>
      <c r="AP333" s="1"/>
      <c r="AQ333" s="1"/>
      <c r="AR333" s="1"/>
      <c r="AS333" s="1"/>
      <c r="AT333" s="1"/>
      <c r="AU333" s="1"/>
      <c r="AV333" s="1"/>
      <c r="AW333" s="1"/>
      <c r="AX333" s="1"/>
      <c r="AY333" s="1"/>
    </row>
    <row r="334" spans="1:68" ht="24" customHeight="1">
      <c r="A334" s="199"/>
      <c r="B334" s="1277"/>
      <c r="C334" s="1277"/>
      <c r="D334" s="1277"/>
      <c r="E334" s="1277"/>
      <c r="F334" s="1277"/>
      <c r="G334" s="1277"/>
      <c r="H334" s="1277"/>
      <c r="I334" s="1277"/>
      <c r="J334" s="1277"/>
      <c r="K334" s="1277"/>
      <c r="L334" s="1277"/>
      <c r="M334" s="1277"/>
      <c r="N334" s="200"/>
      <c r="O334" s="199"/>
      <c r="P334" s="24"/>
      <c r="Q334" s="24"/>
      <c r="R334" s="398"/>
      <c r="S334" s="398"/>
      <c r="T334" s="398"/>
      <c r="U334" s="398"/>
      <c r="V334" s="398"/>
      <c r="W334" s="398"/>
      <c r="X334" s="398"/>
      <c r="Y334" s="398"/>
      <c r="Z334" s="398"/>
      <c r="AA334" s="398"/>
      <c r="AB334" s="200"/>
      <c r="AC334" s="1"/>
      <c r="AD334" s="1"/>
      <c r="AE334" s="1"/>
      <c r="AF334" s="1"/>
      <c r="AG334" s="1"/>
      <c r="AH334" s="1"/>
      <c r="AI334" s="1"/>
      <c r="AJ334" s="1"/>
      <c r="AK334" s="1"/>
      <c r="AL334" s="1"/>
      <c r="AM334" s="1"/>
      <c r="AN334" s="1"/>
      <c r="AO334" s="1"/>
      <c r="AP334" s="1"/>
      <c r="AQ334" s="1"/>
      <c r="AR334" s="1"/>
      <c r="AS334" s="1"/>
      <c r="AT334" s="1"/>
      <c r="AU334" s="1"/>
      <c r="AV334" s="1"/>
      <c r="AW334" s="1"/>
      <c r="AX334" s="1"/>
      <c r="AY334" s="1"/>
    </row>
    <row r="335" spans="1:68" ht="24" customHeight="1">
      <c r="A335" s="199"/>
      <c r="B335" s="1277"/>
      <c r="C335" s="1277"/>
      <c r="D335" s="1277"/>
      <c r="E335" s="1277"/>
      <c r="F335" s="1277"/>
      <c r="G335" s="1277"/>
      <c r="H335" s="1277"/>
      <c r="I335" s="1277"/>
      <c r="J335" s="1277"/>
      <c r="K335" s="1277"/>
      <c r="L335" s="1277"/>
      <c r="M335" s="1277"/>
      <c r="N335" s="200"/>
      <c r="O335" s="199"/>
      <c r="P335" s="24"/>
      <c r="Q335" s="24"/>
      <c r="R335" s="398"/>
      <c r="S335" s="398"/>
      <c r="T335" s="398"/>
      <c r="U335" s="398"/>
      <c r="V335" s="398"/>
      <c r="W335" s="398"/>
      <c r="X335" s="398"/>
      <c r="Y335" s="398"/>
      <c r="Z335" s="398"/>
      <c r="AA335" s="398"/>
      <c r="AB335" s="200"/>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BF335" s="459" t="str">
        <f>IF(OR($I$1094=0,$I$1096=0,$B$1124=""),BH335,BF337)</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BH335" s="465" t="s">
        <v>1821</v>
      </c>
    </row>
    <row r="336" spans="1:68" ht="4.95" customHeight="1">
      <c r="A336" s="199"/>
      <c r="B336" s="391"/>
      <c r="C336" s="391"/>
      <c r="D336" s="391"/>
      <c r="E336" s="391"/>
      <c r="F336" s="391"/>
      <c r="G336" s="391"/>
      <c r="H336" s="391"/>
      <c r="I336" s="391"/>
      <c r="J336" s="391"/>
      <c r="K336" s="391"/>
      <c r="L336" s="391"/>
      <c r="M336" s="391"/>
      <c r="N336" s="200"/>
      <c r="O336" s="199"/>
      <c r="P336" s="24"/>
      <c r="Q336" s="24"/>
      <c r="R336" s="398"/>
      <c r="S336" s="398"/>
      <c r="T336" s="398"/>
      <c r="U336" s="398"/>
      <c r="V336" s="398"/>
      <c r="W336" s="398"/>
      <c r="X336" s="398"/>
      <c r="Y336" s="398"/>
      <c r="Z336" s="398"/>
      <c r="AA336" s="398"/>
      <c r="AB336" s="200"/>
      <c r="AC336" s="1"/>
      <c r="AD336" s="1"/>
      <c r="AE336" s="1"/>
      <c r="AF336" s="1"/>
      <c r="AG336" s="1"/>
      <c r="AH336" s="1"/>
      <c r="AI336" s="1"/>
      <c r="AJ336" s="1"/>
      <c r="AK336" s="1"/>
      <c r="AL336" s="1"/>
      <c r="AM336" s="1"/>
      <c r="AN336" s="1"/>
      <c r="AO336" s="1"/>
      <c r="AP336" s="1"/>
      <c r="AQ336" s="1"/>
      <c r="AR336" s="1"/>
      <c r="AS336" s="1"/>
      <c r="AT336" s="1"/>
      <c r="AU336" s="1"/>
      <c r="AV336" s="1"/>
      <c r="AW336" s="1"/>
      <c r="AX336" s="1"/>
      <c r="AY336" s="1"/>
    </row>
    <row r="337" spans="1:69" ht="19.05" customHeight="1">
      <c r="A337" s="199"/>
      <c r="B337" s="1277" t="str">
        <f>BF335</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C337" s="1277"/>
      <c r="D337" s="1277"/>
      <c r="E337" s="1277"/>
      <c r="F337" s="1277"/>
      <c r="G337" s="1277"/>
      <c r="H337" s="1277"/>
      <c r="I337" s="1277"/>
      <c r="J337" s="1277"/>
      <c r="K337" s="1277"/>
      <c r="L337" s="1277"/>
      <c r="M337" s="1277"/>
      <c r="N337" s="200"/>
      <c r="O337" s="199"/>
      <c r="P337" s="24"/>
      <c r="Q337" s="24"/>
      <c r="R337" s="398"/>
      <c r="S337" s="398"/>
      <c r="T337" s="398"/>
      <c r="U337" s="398"/>
      <c r="V337" s="398"/>
      <c r="W337" s="398"/>
      <c r="X337" s="398"/>
      <c r="Y337" s="398"/>
      <c r="Z337" s="398"/>
      <c r="AA337" s="398"/>
      <c r="AB337" s="200"/>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BF337" s="459" t="str">
        <f>CONCATENATE(BH337,BI337,BJ337,BK337,BL337,BM337,BN337,BO337,BP337,BQ337,BP338)</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BH337" s="465" t="s">
        <v>1643</v>
      </c>
      <c r="BI337" s="2" t="str">
        <f>IF($E$1094=$B$1105,BI339,IF($E$1094=$B$1112,BI338,""))</f>
        <v xml:space="preserve">Republicans </v>
      </c>
      <c r="BJ337" s="2" t="str">
        <f>T1122</f>
        <v>cage children</v>
      </c>
      <c r="BK337" s="465" t="s">
        <v>1876</v>
      </c>
      <c r="BL337" s="2" t="str">
        <f>V1122</f>
        <v>separate families</v>
      </c>
      <c r="BM337" s="465" t="s">
        <v>1892</v>
      </c>
      <c r="BN337" s="2" t="str">
        <f>IF($E$1094=$B$1105,BN339,IF($E$1094=$B$1112,BN338,""))</f>
        <v xml:space="preserve">Democrats </v>
      </c>
      <c r="BO337" s="2" t="str">
        <f>U1122</f>
        <v>let in murderers</v>
      </c>
      <c r="BP337" s="465" t="s">
        <v>1644</v>
      </c>
      <c r="BQ337" s="46" t="str">
        <f>W1122</f>
        <v>let in criminal gangs</v>
      </c>
    </row>
    <row r="338" spans="1:69" ht="19.05" customHeight="1">
      <c r="A338" s="199"/>
      <c r="B338" s="1277"/>
      <c r="C338" s="1277"/>
      <c r="D338" s="1277"/>
      <c r="E338" s="1277"/>
      <c r="F338" s="1277"/>
      <c r="G338" s="1277"/>
      <c r="H338" s="1277"/>
      <c r="I338" s="1277"/>
      <c r="J338" s="1277"/>
      <c r="K338" s="1277"/>
      <c r="L338" s="1277"/>
      <c r="M338" s="1277"/>
      <c r="N338" s="200"/>
      <c r="O338" s="199"/>
      <c r="P338" s="24"/>
      <c r="Q338" s="24"/>
      <c r="R338" s="398"/>
      <c r="S338" s="398"/>
      <c r="T338" s="398"/>
      <c r="U338" s="398"/>
      <c r="V338" s="398"/>
      <c r="W338" s="398"/>
      <c r="X338" s="398"/>
      <c r="Y338" s="398"/>
      <c r="Z338" s="398"/>
      <c r="AA338" s="398"/>
      <c r="AB338" s="200"/>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BI338" s="2" t="s">
        <v>1645</v>
      </c>
      <c r="BN338" s="2" t="s">
        <v>1646</v>
      </c>
      <c r="BP338" s="465" t="s">
        <v>1875</v>
      </c>
    </row>
    <row r="339" spans="1:69" ht="19.05" customHeight="1">
      <c r="A339" s="199"/>
      <c r="B339" s="1277"/>
      <c r="C339" s="1277"/>
      <c r="D339" s="1277"/>
      <c r="E339" s="1277"/>
      <c r="F339" s="1277"/>
      <c r="G339" s="1277"/>
      <c r="H339" s="1277"/>
      <c r="I339" s="1277"/>
      <c r="J339" s="1277"/>
      <c r="K339" s="1277"/>
      <c r="L339" s="1277"/>
      <c r="M339" s="1277"/>
      <c r="N339" s="200"/>
      <c r="O339" s="199"/>
      <c r="P339" s="24"/>
      <c r="Q339" s="24"/>
      <c r="R339" s="398"/>
      <c r="S339" s="398"/>
      <c r="T339" s="398"/>
      <c r="U339" s="398"/>
      <c r="V339" s="398"/>
      <c r="W339" s="398"/>
      <c r="X339" s="398"/>
      <c r="Y339" s="398"/>
      <c r="Z339" s="398"/>
      <c r="AA339" s="398"/>
      <c r="AB339" s="200"/>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BI339" s="2" t="s">
        <v>1646</v>
      </c>
      <c r="BN339" s="2" t="s">
        <v>1645</v>
      </c>
    </row>
    <row r="340" spans="1:69" ht="19.05" customHeight="1">
      <c r="A340" s="199"/>
      <c r="B340" s="1277"/>
      <c r="C340" s="1277"/>
      <c r="D340" s="1277"/>
      <c r="E340" s="1277"/>
      <c r="F340" s="1277"/>
      <c r="G340" s="1277"/>
      <c r="H340" s="1277"/>
      <c r="I340" s="1277"/>
      <c r="J340" s="1277"/>
      <c r="K340" s="1277"/>
      <c r="L340" s="1277"/>
      <c r="M340" s="1277"/>
      <c r="N340" s="200"/>
      <c r="O340" s="199"/>
      <c r="P340" s="24"/>
      <c r="Q340" s="24"/>
      <c r="R340" s="398"/>
      <c r="S340" s="398"/>
      <c r="T340" s="398"/>
      <c r="U340" s="398"/>
      <c r="V340" s="398"/>
      <c r="W340" s="398"/>
      <c r="X340" s="398"/>
      <c r="Y340" s="398"/>
      <c r="Z340" s="398"/>
      <c r="AA340" s="398"/>
      <c r="AB340" s="200"/>
      <c r="AC340" s="1"/>
      <c r="AD340" s="1"/>
      <c r="AE340" s="1"/>
      <c r="AF340" s="1"/>
      <c r="AG340" s="1"/>
      <c r="AH340" s="1"/>
      <c r="AI340" s="1"/>
      <c r="AJ340" s="1"/>
      <c r="AK340" s="1"/>
      <c r="AL340" s="1"/>
      <c r="AM340" s="1"/>
      <c r="AN340" s="1"/>
      <c r="AO340" s="1"/>
      <c r="AP340" s="1"/>
      <c r="AQ340" s="1"/>
      <c r="AR340" s="1"/>
      <c r="AS340" s="1"/>
      <c r="AT340" s="1"/>
      <c r="AU340" s="1"/>
      <c r="AV340" s="1"/>
      <c r="AW340" s="1"/>
      <c r="AX340" s="1"/>
      <c r="AY340" s="1"/>
    </row>
    <row r="341" spans="1:69" ht="19.05" customHeight="1">
      <c r="A341" s="199"/>
      <c r="B341" s="1277"/>
      <c r="C341" s="1277"/>
      <c r="D341" s="1277"/>
      <c r="E341" s="1277"/>
      <c r="F341" s="1277"/>
      <c r="G341" s="1277"/>
      <c r="H341" s="1277"/>
      <c r="I341" s="1277"/>
      <c r="J341" s="1277"/>
      <c r="K341" s="1277"/>
      <c r="L341" s="1277"/>
      <c r="M341" s="1277"/>
      <c r="N341" s="200"/>
      <c r="O341" s="199"/>
      <c r="P341" s="24"/>
      <c r="Q341" s="24"/>
      <c r="R341" s="398"/>
      <c r="S341" s="398"/>
      <c r="T341" s="398"/>
      <c r="U341" s="398"/>
      <c r="V341" s="398"/>
      <c r="W341" s="398"/>
      <c r="X341" s="398"/>
      <c r="Y341" s="398"/>
      <c r="Z341" s="398"/>
      <c r="AA341" s="398"/>
      <c r="AB341" s="200"/>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BF341" s="459" t="str">
        <f>IF(OR($I$1094=0,$I$1096=0,$B$1124=""),BH341,BF343)</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BH341" s="465" t="s">
        <v>2012</v>
      </c>
    </row>
    <row r="342" spans="1:69" ht="4.95" customHeight="1">
      <c r="A342" s="199"/>
      <c r="B342" s="24"/>
      <c r="C342" s="24"/>
      <c r="D342" s="24"/>
      <c r="E342" s="24"/>
      <c r="F342" s="24"/>
      <c r="G342" s="24"/>
      <c r="H342" s="24"/>
      <c r="I342" s="24"/>
      <c r="J342" s="24"/>
      <c r="K342" s="24"/>
      <c r="L342" s="24"/>
      <c r="M342" s="24"/>
      <c r="N342" s="200"/>
      <c r="O342" s="199"/>
      <c r="P342" s="24"/>
      <c r="Q342" s="24"/>
      <c r="R342" s="398"/>
      <c r="S342" s="398"/>
      <c r="T342" s="398"/>
      <c r="U342" s="398"/>
      <c r="V342" s="398"/>
      <c r="W342" s="398"/>
      <c r="X342" s="398"/>
      <c r="Y342" s="398"/>
      <c r="Z342" s="398"/>
      <c r="AA342" s="398"/>
      <c r="AB342" s="200"/>
      <c r="AC342" s="1"/>
      <c r="AD342" s="1"/>
      <c r="AE342" s="1"/>
      <c r="AF342" s="1"/>
      <c r="AG342" s="1"/>
      <c r="AH342" s="1"/>
      <c r="AI342" s="1"/>
      <c r="AJ342" s="1"/>
      <c r="AK342" s="1"/>
      <c r="AL342" s="1"/>
      <c r="AM342" s="1"/>
      <c r="AN342" s="1"/>
      <c r="AO342" s="1"/>
      <c r="AP342" s="1"/>
      <c r="AQ342" s="1"/>
      <c r="AR342" s="1"/>
      <c r="AS342" s="1"/>
      <c r="AT342" s="1"/>
      <c r="AU342" s="1"/>
      <c r="AV342" s="1"/>
      <c r="AW342" s="1"/>
      <c r="AX342" s="1"/>
      <c r="AY342" s="1"/>
    </row>
    <row r="343" spans="1:69" ht="19.95" customHeight="1">
      <c r="A343" s="199"/>
      <c r="B343" s="1277" t="str">
        <f>BF341</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C343" s="1277"/>
      <c r="D343" s="1277"/>
      <c r="E343" s="1277"/>
      <c r="F343" s="1277"/>
      <c r="G343" s="1277"/>
      <c r="H343" s="1277"/>
      <c r="I343" s="1277"/>
      <c r="J343" s="1277"/>
      <c r="K343" s="1277"/>
      <c r="L343" s="1277"/>
      <c r="M343" s="1277"/>
      <c r="N343" s="200"/>
      <c r="O343" s="199"/>
      <c r="P343" s="24"/>
      <c r="Q343" s="24"/>
      <c r="R343" s="398"/>
      <c r="S343" s="398"/>
      <c r="T343" s="398"/>
      <c r="U343" s="398"/>
      <c r="V343" s="398"/>
      <c r="W343" s="398"/>
      <c r="X343" s="398"/>
      <c r="Y343" s="398"/>
      <c r="Z343" s="398"/>
      <c r="AA343" s="398"/>
      <c r="AB343" s="200"/>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BF343" s="459" t="str">
        <f>CONCATENATE(BH343,BI343,BJ343,BK343,BL343,BM343,BN343,BO343,BL344,BM344,BN344,BO344,BP344)</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BH343" s="465" t="s">
        <v>2011</v>
      </c>
      <c r="BI343" s="2" t="str">
        <f>BG1120</f>
        <v>full inclusion</v>
      </c>
      <c r="BJ343" s="465" t="s">
        <v>1634</v>
      </c>
      <c r="BK343" s="2" t="str">
        <f>BI1120</f>
        <v>self-determination</v>
      </c>
      <c r="BL343" s="465" t="s">
        <v>1638</v>
      </c>
      <c r="BM343" s="2" t="str">
        <f>BH1120</f>
        <v>self-protection</v>
      </c>
      <c r="BN343" s="465" t="s">
        <v>1635</v>
      </c>
      <c r="BO343" s="2" t="str">
        <f>BJ1120</f>
        <v>local cohesion</v>
      </c>
    </row>
    <row r="344" spans="1:69" ht="19.95" customHeight="1">
      <c r="A344" s="199"/>
      <c r="B344" s="1277"/>
      <c r="C344" s="1277"/>
      <c r="D344" s="1277"/>
      <c r="E344" s="1277"/>
      <c r="F344" s="1277"/>
      <c r="G344" s="1277"/>
      <c r="H344" s="1277"/>
      <c r="I344" s="1277"/>
      <c r="J344" s="1277"/>
      <c r="K344" s="1277"/>
      <c r="L344" s="1277"/>
      <c r="M344" s="1277"/>
      <c r="N344" s="200"/>
      <c r="O344" s="199"/>
      <c r="P344" s="24"/>
      <c r="Q344" s="24"/>
      <c r="R344" s="398"/>
      <c r="S344" s="398"/>
      <c r="T344" s="398"/>
      <c r="U344" s="398"/>
      <c r="V344" s="398"/>
      <c r="W344" s="398"/>
      <c r="X344" s="398"/>
      <c r="Y344" s="398"/>
      <c r="Z344" s="398"/>
      <c r="AA344" s="398"/>
      <c r="AB344" s="200"/>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BL344" s="465" t="s">
        <v>1636</v>
      </c>
      <c r="BM344" s="2" t="str">
        <f>BK1122</f>
        <v>let anyone enter</v>
      </c>
      <c r="BN344" s="465" t="s">
        <v>1637</v>
      </c>
      <c r="BO344" s="2" t="str">
        <f>BL1122</f>
        <v>keep all out</v>
      </c>
      <c r="BP344" s="465" t="s">
        <v>1633</v>
      </c>
    </row>
    <row r="345" spans="1:69" ht="19.95" customHeight="1">
      <c r="A345" s="199"/>
      <c r="B345" s="1277"/>
      <c r="C345" s="1277"/>
      <c r="D345" s="1277"/>
      <c r="E345" s="1277"/>
      <c r="F345" s="1277"/>
      <c r="G345" s="1277"/>
      <c r="H345" s="1277"/>
      <c r="I345" s="1277"/>
      <c r="J345" s="1277"/>
      <c r="K345" s="1277"/>
      <c r="L345" s="1277"/>
      <c r="M345" s="1277"/>
      <c r="N345" s="200"/>
      <c r="O345" s="199"/>
      <c r="P345" s="24"/>
      <c r="Q345" s="24"/>
      <c r="R345" s="398"/>
      <c r="S345" s="398"/>
      <c r="T345" s="398"/>
      <c r="U345" s="398"/>
      <c r="V345" s="398"/>
      <c r="W345" s="398"/>
      <c r="X345" s="398"/>
      <c r="Y345" s="398"/>
      <c r="Z345" s="398"/>
      <c r="AA345" s="398"/>
      <c r="AB345" s="200"/>
      <c r="AC345" s="1"/>
      <c r="AD345" s="1"/>
      <c r="AE345" s="1"/>
      <c r="AF345" s="1"/>
      <c r="AG345" s="1"/>
      <c r="AH345" s="1"/>
      <c r="AI345" s="1"/>
      <c r="AJ345" s="1"/>
      <c r="AK345" s="1"/>
      <c r="AL345" s="1"/>
      <c r="AM345" s="1"/>
      <c r="AN345" s="1"/>
      <c r="AO345" s="1"/>
      <c r="AP345" s="1"/>
      <c r="AQ345" s="1"/>
      <c r="AR345" s="1"/>
      <c r="AS345" s="1"/>
      <c r="AT345" s="1"/>
      <c r="AU345" s="1"/>
      <c r="AV345" s="1"/>
      <c r="AW345" s="1"/>
      <c r="AX345" s="1"/>
      <c r="AY345" s="1"/>
    </row>
    <row r="346" spans="1:69" ht="4.95" customHeight="1">
      <c r="A346" s="199"/>
      <c r="B346" s="1277"/>
      <c r="C346" s="1277"/>
      <c r="D346" s="1277"/>
      <c r="E346" s="1277"/>
      <c r="F346" s="1277"/>
      <c r="G346" s="1277"/>
      <c r="H346" s="1277"/>
      <c r="I346" s="1277"/>
      <c r="J346" s="1277"/>
      <c r="K346" s="1277"/>
      <c r="L346" s="1277"/>
      <c r="M346" s="1277"/>
      <c r="N346" s="200"/>
      <c r="O346" s="199"/>
      <c r="P346" s="24"/>
      <c r="Q346" s="24"/>
      <c r="R346" s="398"/>
      <c r="S346" s="398"/>
      <c r="T346" s="398"/>
      <c r="U346" s="398"/>
      <c r="V346" s="398"/>
      <c r="W346" s="398"/>
      <c r="X346" s="398"/>
      <c r="Y346" s="398"/>
      <c r="Z346" s="398"/>
      <c r="AA346" s="398"/>
      <c r="AB346" s="200"/>
      <c r="AC346" s="1"/>
      <c r="AD346" s="1"/>
      <c r="AE346" s="1"/>
      <c r="AF346" s="1"/>
      <c r="AG346" s="1"/>
      <c r="AH346" s="1"/>
      <c r="AI346" s="1"/>
      <c r="AJ346" s="1"/>
      <c r="AK346" s="1"/>
      <c r="AL346" s="1"/>
      <c r="AM346" s="1"/>
      <c r="AN346" s="1"/>
      <c r="AO346" s="1"/>
      <c r="AP346" s="1"/>
      <c r="AQ346" s="1"/>
      <c r="AR346" s="1"/>
      <c r="AS346" s="1"/>
      <c r="AT346" s="1"/>
      <c r="AU346" s="1"/>
      <c r="AV346" s="1"/>
      <c r="AW346" s="1"/>
      <c r="AX346" s="1"/>
      <c r="AY346" s="1"/>
    </row>
    <row r="347" spans="1:69" ht="19.95" customHeight="1">
      <c r="A347" s="199"/>
      <c r="B347" s="1277"/>
      <c r="C347" s="1277"/>
      <c r="D347" s="1277"/>
      <c r="E347" s="1277"/>
      <c r="F347" s="1277"/>
      <c r="G347" s="1277"/>
      <c r="H347" s="1277"/>
      <c r="I347" s="1277"/>
      <c r="J347" s="1277"/>
      <c r="K347" s="1277"/>
      <c r="L347" s="1277"/>
      <c r="M347" s="1277"/>
      <c r="N347" s="200"/>
      <c r="O347" s="199"/>
      <c r="P347" s="24"/>
      <c r="Q347" s="24"/>
      <c r="R347" s="398"/>
      <c r="S347" s="398"/>
      <c r="T347" s="398"/>
      <c r="U347" s="398"/>
      <c r="V347" s="398"/>
      <c r="W347" s="398"/>
      <c r="X347" s="398"/>
      <c r="Y347" s="398"/>
      <c r="Z347" s="398"/>
      <c r="AA347" s="398"/>
      <c r="AB347" s="200"/>
      <c r="AC347" s="1"/>
      <c r="AD347" s="1"/>
      <c r="AE347" s="1"/>
      <c r="AF347" s="1"/>
      <c r="AG347" s="1"/>
      <c r="AH347" s="1"/>
      <c r="AI347" s="1"/>
      <c r="AJ347" s="1"/>
      <c r="AK347" s="1"/>
      <c r="AL347" s="1"/>
      <c r="AM347" s="1"/>
      <c r="AN347" s="1"/>
      <c r="AO347" s="1"/>
      <c r="AP347" s="1"/>
      <c r="AQ347" s="1"/>
      <c r="AR347" s="1"/>
      <c r="AS347" s="1"/>
      <c r="AT347" s="1"/>
      <c r="AU347" s="1"/>
      <c r="AV347" s="1"/>
      <c r="AW347" s="1"/>
      <c r="AX347" s="1"/>
      <c r="AY347" s="1"/>
    </row>
    <row r="348" spans="1:69" ht="19.95" customHeight="1">
      <c r="A348" s="199"/>
      <c r="B348" s="1277"/>
      <c r="C348" s="1277"/>
      <c r="D348" s="1277"/>
      <c r="E348" s="1277"/>
      <c r="F348" s="1277"/>
      <c r="G348" s="1277"/>
      <c r="H348" s="1277"/>
      <c r="I348" s="1277"/>
      <c r="J348" s="1277"/>
      <c r="K348" s="1277"/>
      <c r="L348" s="1277"/>
      <c r="M348" s="1277"/>
      <c r="N348" s="200"/>
      <c r="O348" s="199"/>
      <c r="P348" s="24"/>
      <c r="Q348" s="24"/>
      <c r="R348" s="398"/>
      <c r="S348" s="398"/>
      <c r="T348" s="398"/>
      <c r="U348" s="398"/>
      <c r="V348" s="398"/>
      <c r="W348" s="398"/>
      <c r="X348" s="398"/>
      <c r="Y348" s="398"/>
      <c r="Z348" s="398"/>
      <c r="AA348" s="398"/>
      <c r="AB348" s="200"/>
      <c r="AC348" s="1"/>
      <c r="AD348" s="1"/>
      <c r="AE348" s="1"/>
      <c r="AF348" s="1"/>
      <c r="AG348" s="1"/>
      <c r="AH348" s="1"/>
      <c r="AI348" s="1"/>
      <c r="AJ348" s="1"/>
      <c r="AK348" s="1"/>
      <c r="AL348" s="1"/>
      <c r="AM348" s="1"/>
      <c r="AN348" s="1"/>
      <c r="AO348" s="1"/>
      <c r="AP348" s="1"/>
      <c r="AQ348" s="1"/>
      <c r="AR348" s="1"/>
      <c r="AS348" s="1"/>
      <c r="AT348" s="1"/>
      <c r="AU348" s="1"/>
      <c r="AV348" s="1"/>
      <c r="AW348" s="1"/>
      <c r="AX348" s="1"/>
      <c r="AY348" s="1"/>
    </row>
    <row r="349" spans="1:69" ht="19.95" customHeight="1">
      <c r="A349" s="199"/>
      <c r="B349" s="1277"/>
      <c r="C349" s="1277"/>
      <c r="D349" s="1277"/>
      <c r="E349" s="1277"/>
      <c r="F349" s="1277"/>
      <c r="G349" s="1277"/>
      <c r="H349" s="1277"/>
      <c r="I349" s="1277"/>
      <c r="J349" s="1277"/>
      <c r="K349" s="1277"/>
      <c r="L349" s="1277"/>
      <c r="M349" s="1277"/>
      <c r="N349" s="200"/>
      <c r="O349" s="199"/>
      <c r="P349" s="24"/>
      <c r="Q349" s="24"/>
      <c r="R349" s="398"/>
      <c r="S349" s="398"/>
      <c r="T349" s="398"/>
      <c r="U349" s="398"/>
      <c r="V349" s="398"/>
      <c r="W349" s="398"/>
      <c r="X349" s="398"/>
      <c r="Y349" s="398"/>
      <c r="Z349" s="398"/>
      <c r="AA349" s="398"/>
      <c r="AB349" s="200"/>
      <c r="AC349" s="1"/>
      <c r="AD349" s="1"/>
      <c r="AE349" s="1"/>
      <c r="AF349" s="1"/>
      <c r="AG349" s="1"/>
      <c r="AH349" s="1"/>
      <c r="AI349" s="1"/>
      <c r="AJ349" s="1"/>
      <c r="AK349" s="1"/>
      <c r="AL349" s="1"/>
      <c r="AM349" s="1"/>
      <c r="AN349" s="1"/>
      <c r="AO349" s="1"/>
      <c r="AP349" s="1"/>
      <c r="AQ349" s="1"/>
      <c r="AR349" s="1"/>
      <c r="AS349" s="1"/>
      <c r="AT349" s="1"/>
      <c r="AU349" s="1"/>
      <c r="AV349" s="1"/>
      <c r="AW349" s="1"/>
      <c r="AX349" s="1"/>
      <c r="AY349" s="1"/>
    </row>
    <row r="350" spans="1:69" ht="4.95" customHeight="1">
      <c r="A350" s="199"/>
      <c r="B350" s="1277"/>
      <c r="C350" s="1277"/>
      <c r="D350" s="1277"/>
      <c r="E350" s="1277"/>
      <c r="F350" s="1277"/>
      <c r="G350" s="1277"/>
      <c r="H350" s="1277"/>
      <c r="I350" s="1277"/>
      <c r="J350" s="1277"/>
      <c r="K350" s="1277"/>
      <c r="L350" s="1277"/>
      <c r="M350" s="1277"/>
      <c r="N350" s="200"/>
      <c r="O350" s="199"/>
      <c r="P350" s="24"/>
      <c r="Q350" s="24"/>
      <c r="R350" s="398"/>
      <c r="S350" s="398"/>
      <c r="T350" s="398"/>
      <c r="U350" s="398"/>
      <c r="V350" s="398"/>
      <c r="W350" s="398"/>
      <c r="X350" s="398"/>
      <c r="Y350" s="398"/>
      <c r="Z350" s="398"/>
      <c r="AA350" s="398"/>
      <c r="AB350" s="200"/>
      <c r="AC350" s="1"/>
      <c r="AD350" s="1"/>
      <c r="AE350" s="1"/>
      <c r="AF350" s="1"/>
      <c r="AG350" s="1"/>
      <c r="AH350" s="1"/>
      <c r="AI350" s="1"/>
      <c r="AJ350" s="1"/>
      <c r="AK350" s="1"/>
      <c r="AL350" s="1"/>
      <c r="AM350" s="1"/>
      <c r="AN350" s="1"/>
      <c r="AO350" s="1"/>
      <c r="AP350" s="1"/>
      <c r="AQ350" s="1"/>
      <c r="AR350" s="1"/>
      <c r="AS350" s="1"/>
      <c r="AT350" s="1"/>
      <c r="AU350" s="1"/>
      <c r="AV350" s="1"/>
      <c r="AW350" s="1"/>
      <c r="AX350" s="1"/>
      <c r="AY350" s="1"/>
    </row>
    <row r="351" spans="1:69" ht="10.050000000000001" customHeight="1">
      <c r="A351" s="199"/>
      <c r="B351" s="24"/>
      <c r="C351" s="24"/>
      <c r="D351" s="24"/>
      <c r="E351" s="24"/>
      <c r="F351" s="24"/>
      <c r="G351" s="24"/>
      <c r="H351" s="24"/>
      <c r="I351" s="24"/>
      <c r="J351" s="24"/>
      <c r="K351" s="24"/>
      <c r="L351" s="24"/>
      <c r="M351" s="24"/>
      <c r="N351" s="200"/>
      <c r="O351" s="199"/>
      <c r="P351" s="24"/>
      <c r="Q351" s="24"/>
      <c r="R351" s="398"/>
      <c r="S351" s="398"/>
      <c r="T351" s="398"/>
      <c r="U351" s="398"/>
      <c r="V351" s="398"/>
      <c r="W351" s="398"/>
      <c r="X351" s="398"/>
      <c r="Y351" s="398"/>
      <c r="Z351" s="398"/>
      <c r="AA351" s="398"/>
      <c r="AB351" s="203"/>
      <c r="AC351" s="1"/>
      <c r="AD351" s="1"/>
      <c r="AE351" s="1"/>
      <c r="AF351" s="1"/>
      <c r="AG351" s="1"/>
      <c r="AH351" s="1"/>
      <c r="AI351" s="1"/>
      <c r="AJ351" s="1"/>
      <c r="AK351" s="1"/>
      <c r="AL351" s="1"/>
      <c r="AM351" s="1"/>
      <c r="AN351" s="1"/>
      <c r="AO351" s="1"/>
      <c r="AP351" s="1"/>
      <c r="AQ351" s="1"/>
      <c r="AR351" s="1"/>
      <c r="AS351" s="1"/>
      <c r="AT351" s="1"/>
      <c r="AU351" s="1"/>
      <c r="AV351" s="1"/>
      <c r="AW351" s="1"/>
      <c r="AX351" s="1"/>
      <c r="AY351" s="1"/>
    </row>
    <row r="352" spans="1:69" ht="30" customHeight="1">
      <c r="A352" s="210" t="s">
        <v>1148</v>
      </c>
      <c r="B352" s="579" t="s">
        <v>1650</v>
      </c>
      <c r="C352" s="585"/>
      <c r="D352" s="585"/>
      <c r="E352" s="583"/>
      <c r="F352" s="374"/>
      <c r="G352" s="373"/>
      <c r="H352" s="373"/>
      <c r="I352" s="373"/>
      <c r="J352" s="373"/>
      <c r="K352" s="373"/>
      <c r="L352" s="373"/>
      <c r="M352" s="373"/>
      <c r="N352" s="211" t="s">
        <v>1149</v>
      </c>
      <c r="O352" s="372"/>
      <c r="P352" s="374"/>
      <c r="Q352" s="373"/>
      <c r="R352" s="373"/>
      <c r="S352" s="373"/>
      <c r="T352" s="373"/>
      <c r="U352" s="373"/>
      <c r="V352" s="373"/>
      <c r="W352" s="373"/>
      <c r="X352" s="373"/>
      <c r="Y352" s="373"/>
      <c r="Z352" s="373"/>
      <c r="AA352" s="373"/>
      <c r="AB352" s="211" t="s">
        <v>1149</v>
      </c>
      <c r="AC352" s="577"/>
      <c r="AD352" s="1"/>
      <c r="AE352" s="577"/>
      <c r="AF352" s="577"/>
      <c r="AG352" s="577"/>
      <c r="AH352" s="577"/>
      <c r="AI352" s="577"/>
      <c r="AJ352" s="577"/>
      <c r="AK352" s="577"/>
      <c r="AL352" s="577"/>
      <c r="AM352" s="577"/>
      <c r="AN352" s="577"/>
      <c r="AO352" s="577"/>
      <c r="AP352" s="577"/>
      <c r="AQ352" s="577"/>
      <c r="AR352" s="577"/>
      <c r="AS352" s="577"/>
      <c r="AT352" s="577"/>
      <c r="AU352" s="577"/>
      <c r="AV352" s="577"/>
      <c r="AW352" s="577"/>
      <c r="AX352" s="577"/>
      <c r="AY352" s="577"/>
    </row>
    <row r="353" spans="1:64" ht="10.050000000000001" customHeight="1">
      <c r="A353" s="199"/>
      <c r="B353" s="24"/>
      <c r="C353" s="24"/>
      <c r="D353" s="24"/>
      <c r="E353" s="24"/>
      <c r="F353" s="24"/>
      <c r="G353" s="24"/>
      <c r="H353" s="24"/>
      <c r="I353" s="24"/>
      <c r="J353" s="24"/>
      <c r="K353" s="24"/>
      <c r="L353" s="24"/>
      <c r="M353" s="24"/>
      <c r="N353" s="200"/>
      <c r="O353" s="199"/>
      <c r="P353" s="24"/>
      <c r="Q353" s="24"/>
      <c r="R353" s="398"/>
      <c r="S353" s="398"/>
      <c r="T353" s="398"/>
      <c r="U353" s="398"/>
      <c r="V353" s="398"/>
      <c r="W353" s="398"/>
      <c r="X353" s="398"/>
      <c r="Y353" s="398"/>
      <c r="Z353" s="398"/>
      <c r="AA353" s="398"/>
      <c r="AB353" s="200"/>
      <c r="AC353" s="1"/>
      <c r="AD353" s="1"/>
      <c r="AE353" s="1"/>
      <c r="AF353" s="1"/>
      <c r="AG353" s="1"/>
      <c r="AH353" s="1"/>
      <c r="AI353" s="1"/>
      <c r="AJ353" s="1"/>
      <c r="AK353" s="1"/>
      <c r="AL353" s="1"/>
      <c r="AM353" s="1"/>
      <c r="AN353" s="1"/>
      <c r="AO353" s="1"/>
      <c r="AP353" s="1"/>
      <c r="AQ353" s="1"/>
      <c r="AR353" s="1"/>
      <c r="AS353" s="1"/>
      <c r="AT353" s="1"/>
      <c r="AU353" s="1"/>
      <c r="AV353" s="1"/>
      <c r="AW353" s="1"/>
      <c r="AX353" s="1"/>
      <c r="AY353" s="1"/>
    </row>
    <row r="354" spans="1:64" ht="19.95" customHeight="1">
      <c r="A354" s="199"/>
      <c r="B354" s="588" t="s">
        <v>1652</v>
      </c>
      <c r="C354" s="24"/>
      <c r="D354" s="24"/>
      <c r="E354" s="24"/>
      <c r="F354" s="24"/>
      <c r="G354" s="24"/>
      <c r="H354" s="24"/>
      <c r="I354" s="24"/>
      <c r="J354" s="24"/>
      <c r="K354" s="24"/>
      <c r="L354" s="24"/>
      <c r="M354" s="24"/>
      <c r="N354" s="200"/>
      <c r="O354" s="199"/>
      <c r="P354" s="24"/>
      <c r="Q354" s="24"/>
      <c r="R354" s="398"/>
      <c r="S354" s="398"/>
      <c r="T354" s="398"/>
      <c r="U354" s="398"/>
      <c r="V354" s="398"/>
      <c r="W354" s="398"/>
      <c r="X354" s="398"/>
      <c r="Y354" s="398"/>
      <c r="Z354" s="398"/>
      <c r="AA354" s="398"/>
      <c r="AB354" s="200"/>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BF354" s="459" t="str">
        <f>CONCATENATE(BH354,BI354,BJ354,BK354,BL354,BM354,BN354,BO354)</f>
        <v/>
      </c>
      <c r="BH354" s="409"/>
    </row>
    <row r="355" spans="1:64" ht="10.050000000000001" customHeight="1">
      <c r="A355" s="199"/>
      <c r="B355" s="24"/>
      <c r="C355" s="24"/>
      <c r="D355" s="24"/>
      <c r="E355" s="24"/>
      <c r="F355" s="24"/>
      <c r="G355" s="24"/>
      <c r="H355" s="24"/>
      <c r="I355" s="24"/>
      <c r="J355" s="24"/>
      <c r="K355" s="24"/>
      <c r="L355" s="24"/>
      <c r="M355" s="24"/>
      <c r="N355" s="200"/>
      <c r="O355" s="199"/>
      <c r="P355" s="24"/>
      <c r="Q355" s="24"/>
      <c r="R355" s="398"/>
      <c r="S355" s="398"/>
      <c r="T355" s="398"/>
      <c r="U355" s="398"/>
      <c r="V355" s="398"/>
      <c r="W355" s="398"/>
      <c r="X355" s="398"/>
      <c r="Y355" s="398"/>
      <c r="Z355" s="398"/>
      <c r="AA355" s="398"/>
      <c r="AB355" s="200"/>
      <c r="AC355" s="1"/>
      <c r="AD355" s="1"/>
      <c r="AE355" s="1"/>
      <c r="AF355" s="1"/>
      <c r="AG355" s="1"/>
      <c r="AH355" s="1"/>
      <c r="AI355" s="1"/>
      <c r="AJ355" s="1"/>
      <c r="AK355" s="1"/>
      <c r="AL355" s="1"/>
      <c r="AM355" s="1"/>
      <c r="AN355" s="1"/>
      <c r="AO355" s="1"/>
      <c r="AP355" s="1"/>
      <c r="AQ355" s="1"/>
      <c r="AR355" s="1"/>
      <c r="AS355" s="1"/>
      <c r="AT355" s="1"/>
      <c r="AU355" s="1"/>
      <c r="AV355" s="1"/>
      <c r="AW355" s="1"/>
      <c r="AX355" s="1"/>
      <c r="AY355" s="1"/>
    </row>
    <row r="356" spans="1:64" ht="19.05" customHeight="1">
      <c r="A356" s="199"/>
      <c r="B356" s="1277" t="s">
        <v>1680</v>
      </c>
      <c r="C356" s="1277"/>
      <c r="D356" s="1277"/>
      <c r="E356" s="1277"/>
      <c r="F356" s="1277"/>
      <c r="G356" s="1277"/>
      <c r="H356" s="1277"/>
      <c r="I356" s="1277"/>
      <c r="J356" s="1277"/>
      <c r="K356" s="1277"/>
      <c r="L356" s="1277"/>
      <c r="M356" s="1277"/>
      <c r="N356" s="200"/>
      <c r="O356" s="199"/>
      <c r="P356" s="24"/>
      <c r="Q356" s="24"/>
      <c r="R356" s="398"/>
      <c r="S356" s="398"/>
      <c r="T356" s="398"/>
      <c r="U356" s="398"/>
      <c r="V356" s="398"/>
      <c r="W356" s="398"/>
      <c r="X356" s="398"/>
      <c r="Y356" s="398"/>
      <c r="Z356" s="398"/>
      <c r="AA356" s="398"/>
      <c r="AB356" s="200"/>
      <c r="AC356" s="1"/>
      <c r="AD356" s="1"/>
      <c r="AE356" s="1"/>
      <c r="AF356" s="1"/>
      <c r="AG356" s="1"/>
      <c r="AH356" s="1"/>
      <c r="AI356" s="1"/>
      <c r="AJ356" s="1"/>
      <c r="AK356" s="1"/>
      <c r="AL356" s="1"/>
      <c r="AM356" s="1"/>
      <c r="AN356" s="1"/>
      <c r="AO356" s="1"/>
      <c r="AP356" s="1"/>
      <c r="AQ356" s="1"/>
      <c r="AR356" s="1"/>
      <c r="AS356" s="1"/>
      <c r="AT356" s="1"/>
      <c r="AU356" s="1"/>
      <c r="AV356" s="1"/>
      <c r="AW356" s="1"/>
      <c r="AX356" s="1"/>
      <c r="AY356" s="1"/>
    </row>
    <row r="357" spans="1:64" ht="19.05" customHeight="1">
      <c r="A357" s="199"/>
      <c r="B357" s="1277"/>
      <c r="C357" s="1277"/>
      <c r="D357" s="1277"/>
      <c r="E357" s="1277"/>
      <c r="F357" s="1277"/>
      <c r="G357" s="1277"/>
      <c r="H357" s="1277"/>
      <c r="I357" s="1277"/>
      <c r="J357" s="1277"/>
      <c r="K357" s="1277"/>
      <c r="L357" s="1277"/>
      <c r="M357" s="1277"/>
      <c r="N357" s="200"/>
      <c r="O357" s="199"/>
      <c r="P357" s="24"/>
      <c r="Q357" s="24"/>
      <c r="R357" s="398"/>
      <c r="S357" s="398"/>
      <c r="T357" s="398"/>
      <c r="U357" s="398"/>
      <c r="V357" s="398"/>
      <c r="W357" s="398"/>
      <c r="X357" s="398"/>
      <c r="Y357" s="398"/>
      <c r="Z357" s="398"/>
      <c r="AA357" s="398"/>
      <c r="AB357" s="200"/>
      <c r="AC357" s="1"/>
      <c r="AD357" s="1"/>
      <c r="AE357" s="1"/>
      <c r="AF357" s="1"/>
      <c r="AG357" s="1"/>
      <c r="AH357" s="1"/>
      <c r="AI357" s="1"/>
      <c r="AJ357" s="1"/>
      <c r="AK357" s="1"/>
      <c r="AL357" s="1"/>
      <c r="AM357" s="1"/>
      <c r="AN357" s="1"/>
      <c r="AO357" s="1"/>
      <c r="AP357" s="1"/>
      <c r="AQ357" s="1"/>
      <c r="AR357" s="1"/>
      <c r="AS357" s="1"/>
      <c r="AT357" s="1"/>
      <c r="AU357" s="1"/>
      <c r="AV357" s="1"/>
      <c r="AW357" s="1"/>
      <c r="AX357" s="1"/>
      <c r="AY357" s="1"/>
    </row>
    <row r="358" spans="1:64" ht="19.05" customHeight="1">
      <c r="A358" s="199"/>
      <c r="B358" s="1277"/>
      <c r="C358" s="1277"/>
      <c r="D358" s="1277"/>
      <c r="E358" s="1277"/>
      <c r="F358" s="1277"/>
      <c r="G358" s="1277"/>
      <c r="H358" s="1277"/>
      <c r="I358" s="1277"/>
      <c r="J358" s="1277"/>
      <c r="K358" s="1277"/>
      <c r="L358" s="1277"/>
      <c r="M358" s="1277"/>
      <c r="N358" s="200"/>
      <c r="O358" s="199"/>
      <c r="P358" s="24"/>
      <c r="Q358" s="24"/>
      <c r="R358" s="398"/>
      <c r="S358" s="398"/>
      <c r="T358" s="398"/>
      <c r="U358" s="398"/>
      <c r="V358" s="398"/>
      <c r="W358" s="398"/>
      <c r="X358" s="398"/>
      <c r="Y358" s="398"/>
      <c r="Z358" s="398"/>
      <c r="AA358" s="398"/>
      <c r="AB358" s="200"/>
      <c r="AC358" s="1"/>
      <c r="AD358" s="1"/>
      <c r="AE358" s="1"/>
      <c r="AF358" s="1"/>
      <c r="AG358" s="1"/>
      <c r="AH358" s="1"/>
      <c r="AI358" s="1"/>
      <c r="AJ358" s="1"/>
      <c r="AK358" s="1"/>
      <c r="AL358" s="1"/>
      <c r="AM358" s="1"/>
      <c r="AN358" s="1"/>
      <c r="AO358" s="1"/>
      <c r="AP358" s="1"/>
      <c r="AQ358" s="1"/>
      <c r="AR358" s="1"/>
      <c r="AS358" s="1"/>
      <c r="AT358" s="1"/>
      <c r="AU358" s="1"/>
      <c r="AV358" s="1"/>
      <c r="AW358" s="1"/>
      <c r="AX358" s="1"/>
      <c r="AY358" s="1"/>
    </row>
    <row r="359" spans="1:64" ht="19.05" customHeight="1">
      <c r="A359" s="199"/>
      <c r="B359" s="1277"/>
      <c r="C359" s="1277"/>
      <c r="D359" s="1277"/>
      <c r="E359" s="1277"/>
      <c r="F359" s="1277"/>
      <c r="G359" s="1277"/>
      <c r="H359" s="1277"/>
      <c r="I359" s="1277"/>
      <c r="J359" s="1277"/>
      <c r="K359" s="1277"/>
      <c r="L359" s="1277"/>
      <c r="M359" s="1277"/>
      <c r="N359" s="200"/>
      <c r="O359" s="199"/>
      <c r="P359" s="24"/>
      <c r="Q359" s="24"/>
      <c r="R359" s="398"/>
      <c r="S359" s="398"/>
      <c r="T359" s="398"/>
      <c r="U359" s="398"/>
      <c r="V359" s="398"/>
      <c r="W359" s="398"/>
      <c r="X359" s="398"/>
      <c r="Y359" s="398"/>
      <c r="Z359" s="398"/>
      <c r="AA359" s="398"/>
      <c r="AB359" s="200"/>
      <c r="AC359" s="1"/>
      <c r="AD359" s="1"/>
      <c r="AE359" s="1"/>
      <c r="AF359" s="1"/>
      <c r="AG359" s="1"/>
      <c r="AH359" s="1"/>
      <c r="AI359" s="1"/>
      <c r="AJ359" s="1"/>
      <c r="AK359" s="1"/>
      <c r="AL359" s="1"/>
      <c r="AM359" s="1"/>
      <c r="AN359" s="1"/>
      <c r="AO359" s="1"/>
      <c r="AP359" s="1"/>
      <c r="AQ359" s="1"/>
      <c r="AR359" s="1"/>
      <c r="AS359" s="1"/>
      <c r="AT359" s="1"/>
      <c r="AU359" s="1"/>
      <c r="AV359" s="1"/>
      <c r="AW359" s="1"/>
      <c r="AX359" s="1"/>
      <c r="AY359" s="1"/>
    </row>
    <row r="360" spans="1:64" ht="19.05" customHeight="1">
      <c r="A360" s="199"/>
      <c r="B360" s="1277"/>
      <c r="C360" s="1277"/>
      <c r="D360" s="1277"/>
      <c r="E360" s="1277"/>
      <c r="F360" s="1277"/>
      <c r="G360" s="1277"/>
      <c r="H360" s="1277"/>
      <c r="I360" s="1277"/>
      <c r="J360" s="1277"/>
      <c r="K360" s="1277"/>
      <c r="L360" s="1277"/>
      <c r="M360" s="1277"/>
      <c r="N360" s="200"/>
      <c r="O360" s="199"/>
      <c r="P360" s="24"/>
      <c r="Q360" s="24"/>
      <c r="R360" s="398"/>
      <c r="S360" s="398"/>
      <c r="T360" s="398"/>
      <c r="U360" s="398"/>
      <c r="V360" s="398"/>
      <c r="W360" s="398"/>
      <c r="X360" s="398"/>
      <c r="Y360" s="398"/>
      <c r="Z360" s="398"/>
      <c r="AA360" s="398"/>
      <c r="AB360" s="200"/>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BF360" s="459" t="str">
        <f>IF(OR($I$1094=0,$B$1124=""),BH360,BF362)</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BH360" s="465" t="s">
        <v>1822</v>
      </c>
    </row>
    <row r="361" spans="1:64" ht="4.95" customHeight="1">
      <c r="A361" s="199"/>
      <c r="B361" s="24"/>
      <c r="C361" s="24"/>
      <c r="D361" s="24"/>
      <c r="E361" s="24"/>
      <c r="F361" s="24"/>
      <c r="G361" s="24"/>
      <c r="H361" s="24"/>
      <c r="I361" s="24"/>
      <c r="J361" s="24"/>
      <c r="K361" s="24"/>
      <c r="L361" s="24"/>
      <c r="M361" s="24"/>
      <c r="N361" s="200"/>
      <c r="O361" s="199"/>
      <c r="P361" s="24"/>
      <c r="Q361" s="24"/>
      <c r="R361" s="398"/>
      <c r="S361" s="398"/>
      <c r="T361" s="398"/>
      <c r="U361" s="398"/>
      <c r="V361" s="398"/>
      <c r="W361" s="398"/>
      <c r="X361" s="398"/>
      <c r="Y361" s="398"/>
      <c r="Z361" s="398"/>
      <c r="AA361" s="398"/>
      <c r="AB361" s="200"/>
      <c r="AC361" s="1"/>
      <c r="AD361" s="1"/>
      <c r="AE361" s="1"/>
      <c r="AF361" s="1"/>
      <c r="AG361" s="1"/>
      <c r="AH361" s="1"/>
      <c r="AI361" s="1"/>
      <c r="AJ361" s="1"/>
      <c r="AK361" s="1"/>
      <c r="AL361" s="1"/>
      <c r="AM361" s="1"/>
      <c r="AN361" s="1"/>
      <c r="AO361" s="1"/>
      <c r="AP361" s="1"/>
      <c r="AQ361" s="1"/>
      <c r="AR361" s="1"/>
      <c r="AS361" s="1"/>
      <c r="AT361" s="1"/>
      <c r="AU361" s="1"/>
      <c r="AV361" s="1"/>
      <c r="AW361" s="1"/>
      <c r="AX361" s="1"/>
      <c r="AY361" s="1"/>
    </row>
    <row r="362" spans="1:64" ht="19.95" customHeight="1">
      <c r="A362" s="199"/>
      <c r="B362" s="1277" t="str">
        <f>BF360</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C362" s="1277"/>
      <c r="D362" s="1277"/>
      <c r="E362" s="1277"/>
      <c r="F362" s="1277"/>
      <c r="G362" s="1277"/>
      <c r="H362" s="1277"/>
      <c r="I362" s="1277"/>
      <c r="J362" s="1277"/>
      <c r="K362" s="1277"/>
      <c r="L362" s="1277"/>
      <c r="M362" s="1277"/>
      <c r="N362" s="200"/>
      <c r="O362" s="199"/>
      <c r="P362" s="24"/>
      <c r="Q362" s="24"/>
      <c r="R362" s="398"/>
      <c r="S362" s="398"/>
      <c r="T362" s="398"/>
      <c r="U362" s="398"/>
      <c r="V362" s="398"/>
      <c r="W362" s="398"/>
      <c r="X362" s="398"/>
      <c r="Y362" s="398"/>
      <c r="Z362" s="398"/>
      <c r="AA362" s="398"/>
      <c r="AB362" s="200"/>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BF362" s="459" t="str">
        <f>CONCATENATE(BH362,BI362,BJ362,BK362,BL362,BM362,BN360,BO360)</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BH362" s="409" t="s">
        <v>1943</v>
      </c>
      <c r="BI362" s="2" t="str">
        <f>BL1122</f>
        <v>keep all out</v>
      </c>
      <c r="BJ362" s="409" t="s">
        <v>1685</v>
      </c>
      <c r="BK362" s="2" t="str">
        <f>BK1122</f>
        <v>let anyone enter</v>
      </c>
      <c r="BL362" s="465" t="s">
        <v>1683</v>
      </c>
    </row>
    <row r="363" spans="1:64" ht="19.95" customHeight="1">
      <c r="A363" s="199"/>
      <c r="B363" s="1277"/>
      <c r="C363" s="1277"/>
      <c r="D363" s="1277"/>
      <c r="E363" s="1277"/>
      <c r="F363" s="1277"/>
      <c r="G363" s="1277"/>
      <c r="H363" s="1277"/>
      <c r="I363" s="1277"/>
      <c r="J363" s="1277"/>
      <c r="K363" s="1277"/>
      <c r="L363" s="1277"/>
      <c r="M363" s="1277"/>
      <c r="N363" s="200"/>
      <c r="O363" s="199"/>
      <c r="P363" s="24"/>
      <c r="Q363" s="24"/>
      <c r="R363" s="398"/>
      <c r="S363" s="398"/>
      <c r="T363" s="398"/>
      <c r="U363" s="398"/>
      <c r="V363" s="398"/>
      <c r="W363" s="398"/>
      <c r="X363" s="398"/>
      <c r="Y363" s="398"/>
      <c r="Z363" s="398"/>
      <c r="AA363" s="398"/>
      <c r="AB363" s="200"/>
      <c r="AC363" s="1"/>
      <c r="AD363" s="1"/>
      <c r="AE363" s="1"/>
      <c r="AF363" s="1"/>
      <c r="AG363" s="1"/>
      <c r="AH363" s="1"/>
      <c r="AI363" s="1"/>
      <c r="AJ363" s="1"/>
      <c r="AK363" s="1"/>
      <c r="AL363" s="1"/>
      <c r="AM363" s="1"/>
      <c r="AN363" s="1"/>
      <c r="AO363" s="1"/>
      <c r="AP363" s="1"/>
      <c r="AQ363" s="1"/>
      <c r="AR363" s="1"/>
      <c r="AS363" s="1"/>
      <c r="AT363" s="1"/>
      <c r="AU363" s="1"/>
      <c r="AV363" s="1"/>
      <c r="AW363" s="1"/>
      <c r="AX363" s="1"/>
      <c r="AY363" s="1"/>
    </row>
    <row r="364" spans="1:64" ht="19.95" customHeight="1">
      <c r="A364" s="199"/>
      <c r="B364" s="1277"/>
      <c r="C364" s="1277"/>
      <c r="D364" s="1277"/>
      <c r="E364" s="1277"/>
      <c r="F364" s="1277"/>
      <c r="G364" s="1277"/>
      <c r="H364" s="1277"/>
      <c r="I364" s="1277"/>
      <c r="J364" s="1277"/>
      <c r="K364" s="1277"/>
      <c r="L364" s="1277"/>
      <c r="M364" s="1277"/>
      <c r="N364" s="200"/>
      <c r="O364" s="199"/>
      <c r="P364" s="24"/>
      <c r="Q364" s="24"/>
      <c r="R364" s="398"/>
      <c r="S364" s="398"/>
      <c r="T364" s="398"/>
      <c r="U364" s="398"/>
      <c r="V364" s="398"/>
      <c r="W364" s="398"/>
      <c r="X364" s="398"/>
      <c r="Y364" s="398"/>
      <c r="Z364" s="398"/>
      <c r="AA364" s="398"/>
      <c r="AB364" s="200"/>
      <c r="AC364" s="1"/>
      <c r="AD364" s="1"/>
      <c r="AE364" s="1"/>
      <c r="AF364" s="1"/>
      <c r="AG364" s="1"/>
      <c r="AH364" s="1"/>
      <c r="AI364" s="1"/>
      <c r="AJ364" s="1"/>
      <c r="AK364" s="1"/>
      <c r="AL364" s="1"/>
      <c r="AM364" s="1"/>
      <c r="AN364" s="1"/>
      <c r="AO364" s="1"/>
      <c r="AP364" s="1"/>
      <c r="AQ364" s="1"/>
      <c r="AR364" s="1"/>
      <c r="AS364" s="1"/>
      <c r="AT364" s="1"/>
      <c r="AU364" s="1"/>
      <c r="AV364" s="1"/>
      <c r="AW364" s="1"/>
      <c r="AX364" s="1"/>
      <c r="AY364" s="1"/>
    </row>
    <row r="365" spans="1:64" ht="19.95" customHeight="1">
      <c r="A365" s="199"/>
      <c r="B365" s="1277"/>
      <c r="C365" s="1277"/>
      <c r="D365" s="1277"/>
      <c r="E365" s="1277"/>
      <c r="F365" s="1277"/>
      <c r="G365" s="1277"/>
      <c r="H365" s="1277"/>
      <c r="I365" s="1277"/>
      <c r="J365" s="1277"/>
      <c r="K365" s="1277"/>
      <c r="L365" s="1277"/>
      <c r="M365" s="1277"/>
      <c r="N365" s="200"/>
      <c r="O365" s="199"/>
      <c r="P365" s="24"/>
      <c r="Q365" s="24"/>
      <c r="R365" s="398"/>
      <c r="S365" s="398"/>
      <c r="T365" s="398"/>
      <c r="U365" s="398"/>
      <c r="V365" s="398"/>
      <c r="W365" s="398"/>
      <c r="X365" s="398"/>
      <c r="Y365" s="398"/>
      <c r="Z365" s="398"/>
      <c r="AA365" s="398"/>
      <c r="AB365" s="200"/>
      <c r="AC365" s="1"/>
      <c r="AD365" s="1"/>
      <c r="AE365" s="1"/>
      <c r="AF365" s="1"/>
      <c r="AG365" s="1"/>
      <c r="AH365" s="1"/>
      <c r="AI365" s="1"/>
      <c r="AJ365" s="1"/>
      <c r="AK365" s="1"/>
      <c r="AL365" s="1"/>
      <c r="AM365" s="1"/>
      <c r="AN365" s="1"/>
      <c r="AO365" s="1"/>
      <c r="AP365" s="1"/>
      <c r="AQ365" s="1"/>
      <c r="AR365" s="1"/>
      <c r="AS365" s="1"/>
      <c r="AT365" s="1"/>
      <c r="AU365" s="1"/>
      <c r="AV365" s="1"/>
      <c r="AW365" s="1"/>
      <c r="AX365" s="1"/>
      <c r="AY365" s="1"/>
    </row>
    <row r="366" spans="1:64" ht="19.95" customHeight="1">
      <c r="A366" s="199"/>
      <c r="B366" s="1277"/>
      <c r="C366" s="1277"/>
      <c r="D366" s="1277"/>
      <c r="E366" s="1277"/>
      <c r="F366" s="1277"/>
      <c r="G366" s="1277"/>
      <c r="H366" s="1277"/>
      <c r="I366" s="1277"/>
      <c r="J366" s="1277"/>
      <c r="K366" s="1277"/>
      <c r="L366" s="1277"/>
      <c r="M366" s="1277"/>
      <c r="N366" s="200"/>
      <c r="O366" s="199"/>
      <c r="P366" s="24"/>
      <c r="Q366" s="24"/>
      <c r="R366" s="398"/>
      <c r="S366" s="398"/>
      <c r="T366" s="398"/>
      <c r="U366" s="398"/>
      <c r="V366" s="398"/>
      <c r="W366" s="398"/>
      <c r="X366" s="398"/>
      <c r="Y366" s="398"/>
      <c r="Z366" s="398"/>
      <c r="AA366" s="398"/>
      <c r="AB366" s="200"/>
      <c r="AC366" s="1"/>
      <c r="AD366" s="1"/>
      <c r="AE366" s="1"/>
      <c r="AF366" s="1"/>
      <c r="AG366" s="1"/>
      <c r="AH366" s="1"/>
      <c r="AI366" s="1"/>
      <c r="AJ366" s="1"/>
      <c r="AK366" s="1"/>
      <c r="AL366" s="1"/>
      <c r="AM366" s="1"/>
      <c r="AN366" s="1"/>
      <c r="AO366" s="1"/>
      <c r="AP366" s="1"/>
      <c r="AQ366" s="1"/>
      <c r="AR366" s="1"/>
      <c r="AS366" s="1"/>
      <c r="AT366" s="1"/>
      <c r="AU366" s="1"/>
      <c r="AV366" s="1"/>
      <c r="AW366" s="1"/>
      <c r="AX366" s="1"/>
      <c r="AY366" s="1"/>
    </row>
    <row r="367" spans="1:64" ht="19.95" customHeight="1">
      <c r="A367" s="199"/>
      <c r="B367" s="24"/>
      <c r="C367" s="24"/>
      <c r="D367" s="24"/>
      <c r="E367" s="24"/>
      <c r="F367" s="24"/>
      <c r="G367" s="24"/>
      <c r="H367" s="24"/>
      <c r="I367" s="24"/>
      <c r="J367" s="24"/>
      <c r="K367" s="24"/>
      <c r="L367" s="24"/>
      <c r="M367" s="24"/>
      <c r="N367" s="200"/>
      <c r="O367" s="199"/>
      <c r="P367" s="24"/>
      <c r="Q367" s="24"/>
      <c r="R367" s="398"/>
      <c r="S367" s="398"/>
      <c r="T367" s="398"/>
      <c r="U367" s="398"/>
      <c r="V367" s="398"/>
      <c r="W367" s="398"/>
      <c r="X367" s="398"/>
      <c r="Y367" s="398"/>
      <c r="Z367" s="398"/>
      <c r="AA367" s="398"/>
      <c r="AB367" s="200"/>
      <c r="AC367" s="1"/>
      <c r="AD367" s="1"/>
      <c r="AE367" s="1"/>
      <c r="AF367" s="1"/>
      <c r="AG367" s="1"/>
      <c r="AH367" s="1"/>
      <c r="AI367" s="1"/>
      <c r="AJ367" s="1"/>
      <c r="AK367" s="1"/>
      <c r="AL367" s="1"/>
      <c r="AM367" s="1"/>
      <c r="AN367" s="1"/>
      <c r="AO367" s="1"/>
      <c r="AP367" s="1"/>
      <c r="AQ367" s="1"/>
      <c r="AR367" s="1"/>
      <c r="AS367" s="1"/>
      <c r="AT367" s="1"/>
      <c r="AU367" s="1"/>
      <c r="AV367" s="1"/>
      <c r="AW367" s="1"/>
      <c r="AX367" s="1"/>
      <c r="AY367" s="1"/>
    </row>
    <row r="368" spans="1:64" ht="19.95" customHeight="1">
      <c r="A368" s="199"/>
      <c r="B368" s="24"/>
      <c r="C368" s="24"/>
      <c r="D368" s="24"/>
      <c r="E368" s="24"/>
      <c r="F368" s="24"/>
      <c r="G368" s="24"/>
      <c r="H368" s="24"/>
      <c r="I368" s="24"/>
      <c r="J368" s="24"/>
      <c r="K368" s="24"/>
      <c r="L368" s="24"/>
      <c r="M368" s="24"/>
      <c r="N368" s="200"/>
      <c r="O368" s="199"/>
      <c r="P368" s="24"/>
      <c r="Q368" s="24"/>
      <c r="R368" s="398"/>
      <c r="S368" s="398"/>
      <c r="T368" s="398"/>
      <c r="U368" s="398"/>
      <c r="V368" s="398"/>
      <c r="W368" s="398"/>
      <c r="X368" s="398"/>
      <c r="Y368" s="398"/>
      <c r="Z368" s="398"/>
      <c r="AA368" s="398"/>
      <c r="AB368" s="200"/>
      <c r="AC368" s="1"/>
      <c r="AD368" s="1"/>
      <c r="AE368" s="1"/>
      <c r="AF368" s="1"/>
      <c r="AG368" s="1"/>
      <c r="AH368" s="1"/>
      <c r="AI368" s="1"/>
      <c r="AJ368" s="1"/>
      <c r="AK368" s="1"/>
      <c r="AL368" s="1"/>
      <c r="AM368" s="1"/>
      <c r="AN368" s="1"/>
      <c r="AO368" s="1"/>
      <c r="AP368" s="1"/>
      <c r="AQ368" s="1"/>
      <c r="AR368" s="1"/>
      <c r="AS368" s="1"/>
      <c r="AT368" s="1"/>
      <c r="AU368" s="1"/>
      <c r="AV368" s="1"/>
      <c r="AW368" s="1"/>
      <c r="AX368" s="1"/>
      <c r="AY368" s="1"/>
    </row>
    <row r="369" spans="1:64" ht="45" customHeight="1">
      <c r="A369" s="199"/>
      <c r="B369" s="24"/>
      <c r="C369" s="24"/>
      <c r="D369" s="24"/>
      <c r="E369" s="24"/>
      <c r="F369" s="24"/>
      <c r="G369" s="24"/>
      <c r="H369" s="24"/>
      <c r="I369" s="24"/>
      <c r="J369" s="24"/>
      <c r="K369" s="24"/>
      <c r="L369" s="24"/>
      <c r="M369" s="24"/>
      <c r="N369" s="200"/>
      <c r="O369" s="199"/>
      <c r="P369" s="24"/>
      <c r="Q369" s="24"/>
      <c r="R369" s="398"/>
      <c r="S369" s="398"/>
      <c r="T369" s="398"/>
      <c r="U369" s="398"/>
      <c r="V369" s="398"/>
      <c r="W369" s="398"/>
      <c r="X369" s="398"/>
      <c r="Y369" s="398"/>
      <c r="Z369" s="398"/>
      <c r="AA369" s="398"/>
      <c r="AB369" s="200"/>
      <c r="AC369" s="1"/>
      <c r="AD369" s="1"/>
      <c r="AE369" s="1"/>
      <c r="AF369" s="1"/>
      <c r="AG369" s="1"/>
      <c r="AH369" s="1"/>
      <c r="AI369" s="1"/>
      <c r="AJ369" s="1"/>
      <c r="AK369" s="1"/>
      <c r="AL369" s="1"/>
      <c r="AM369" s="1"/>
      <c r="AN369" s="1"/>
      <c r="AO369" s="1"/>
      <c r="AP369" s="1"/>
      <c r="AQ369" s="1"/>
      <c r="AR369" s="1"/>
      <c r="AS369" s="1"/>
      <c r="AT369" s="1"/>
      <c r="AU369" s="1"/>
      <c r="AV369" s="1"/>
      <c r="AW369" s="1"/>
      <c r="AX369" s="1"/>
      <c r="AY369" s="1"/>
    </row>
    <row r="370" spans="1:64" ht="19.95" customHeight="1">
      <c r="A370" s="199"/>
      <c r="B370" s="24"/>
      <c r="C370" s="24"/>
      <c r="D370" s="24"/>
      <c r="E370" s="24"/>
      <c r="F370" s="24"/>
      <c r="G370" s="24"/>
      <c r="H370" s="24"/>
      <c r="I370" s="24"/>
      <c r="J370" s="24"/>
      <c r="K370" s="24"/>
      <c r="L370" s="24"/>
      <c r="M370" s="24"/>
      <c r="N370" s="200"/>
      <c r="O370" s="199"/>
      <c r="P370" s="24"/>
      <c r="Q370" s="24"/>
      <c r="R370" s="398"/>
      <c r="S370" s="398"/>
      <c r="T370" s="398"/>
      <c r="U370" s="398"/>
      <c r="V370" s="398"/>
      <c r="W370" s="398"/>
      <c r="X370" s="398"/>
      <c r="Y370" s="398"/>
      <c r="Z370" s="398"/>
      <c r="AA370" s="398"/>
      <c r="AB370" s="200"/>
      <c r="AC370" s="1"/>
      <c r="AD370" s="1"/>
      <c r="AE370" s="1"/>
      <c r="AF370" s="1"/>
      <c r="AG370" s="1"/>
      <c r="AH370" s="1"/>
      <c r="AI370" s="1"/>
      <c r="AJ370" s="1"/>
      <c r="AK370" s="1"/>
      <c r="AL370" s="1"/>
      <c r="AM370" s="1"/>
      <c r="AN370" s="1"/>
      <c r="AO370" s="1"/>
      <c r="AP370" s="1"/>
      <c r="AQ370" s="1"/>
      <c r="AR370" s="1"/>
      <c r="AS370" s="1"/>
      <c r="AT370" s="1"/>
      <c r="AU370" s="1"/>
      <c r="AV370" s="1"/>
      <c r="AW370" s="1"/>
      <c r="AX370" s="1"/>
      <c r="AY370" s="1"/>
    </row>
    <row r="371" spans="1:64" ht="19.95" customHeight="1">
      <c r="A371" s="199"/>
      <c r="B371" s="24"/>
      <c r="C371" s="24"/>
      <c r="D371" s="24"/>
      <c r="E371" s="24"/>
      <c r="F371" s="24"/>
      <c r="G371" s="24"/>
      <c r="H371" s="24"/>
      <c r="I371" s="24"/>
      <c r="J371" s="24"/>
      <c r="K371" s="24"/>
      <c r="L371" s="24"/>
      <c r="M371" s="24"/>
      <c r="N371" s="200"/>
      <c r="O371" s="199"/>
      <c r="P371" s="24"/>
      <c r="Q371" s="24"/>
      <c r="R371" s="398"/>
      <c r="S371" s="398"/>
      <c r="T371" s="398"/>
      <c r="U371" s="398"/>
      <c r="V371" s="398"/>
      <c r="W371" s="398"/>
      <c r="X371" s="398"/>
      <c r="Y371" s="398"/>
      <c r="Z371" s="398"/>
      <c r="AA371" s="398"/>
      <c r="AB371" s="200"/>
      <c r="AC371" s="1"/>
      <c r="AD371" s="1"/>
      <c r="AE371" s="1"/>
      <c r="AF371" s="1"/>
      <c r="AG371" s="1"/>
      <c r="AH371" s="1"/>
      <c r="AI371" s="1"/>
      <c r="AJ371" s="1"/>
      <c r="AK371" s="1"/>
      <c r="AL371" s="1"/>
      <c r="AM371" s="1"/>
      <c r="AN371" s="1"/>
      <c r="AO371" s="1"/>
      <c r="AP371" s="1"/>
      <c r="AQ371" s="1"/>
      <c r="AR371" s="1"/>
      <c r="AS371" s="1"/>
      <c r="AT371" s="1"/>
      <c r="AU371" s="1"/>
      <c r="AV371" s="1"/>
      <c r="AW371" s="1"/>
      <c r="AX371" s="1"/>
      <c r="AY371" s="1"/>
    </row>
    <row r="372" spans="1:64" ht="19.95" customHeight="1">
      <c r="A372" s="199"/>
      <c r="B372" s="24"/>
      <c r="C372" s="24"/>
      <c r="D372" s="24"/>
      <c r="E372" s="24"/>
      <c r="F372" s="24"/>
      <c r="G372" s="24"/>
      <c r="H372" s="24"/>
      <c r="I372" s="24"/>
      <c r="J372" s="24"/>
      <c r="K372" s="24"/>
      <c r="L372" s="24"/>
      <c r="M372" s="24"/>
      <c r="N372" s="200"/>
      <c r="O372" s="199"/>
      <c r="P372" s="24"/>
      <c r="Q372" s="24"/>
      <c r="R372" s="398"/>
      <c r="S372" s="398"/>
      <c r="T372" s="398"/>
      <c r="U372" s="398"/>
      <c r="V372" s="398"/>
      <c r="W372" s="398"/>
      <c r="X372" s="398"/>
      <c r="Y372" s="398"/>
      <c r="Z372" s="398"/>
      <c r="AA372" s="398"/>
      <c r="AB372" s="200"/>
      <c r="AC372" s="1"/>
      <c r="AD372" s="1"/>
      <c r="AE372" s="1"/>
      <c r="AF372" s="1"/>
      <c r="AG372" s="1"/>
      <c r="AH372" s="1"/>
      <c r="AI372" s="1"/>
      <c r="AJ372" s="1"/>
      <c r="AK372" s="1"/>
      <c r="AL372" s="1"/>
      <c r="AM372" s="1"/>
      <c r="AN372" s="1"/>
      <c r="AO372" s="1"/>
      <c r="AP372" s="1"/>
      <c r="AQ372" s="1"/>
      <c r="AR372" s="1"/>
      <c r="AS372" s="1"/>
      <c r="AT372" s="1"/>
      <c r="AU372" s="1"/>
      <c r="AV372" s="1"/>
      <c r="AW372" s="1"/>
      <c r="AX372" s="1"/>
      <c r="AY372" s="1"/>
    </row>
    <row r="373" spans="1:64" ht="19.95" customHeight="1">
      <c r="A373" s="199"/>
      <c r="B373" s="24"/>
      <c r="C373" s="24"/>
      <c r="D373" s="24"/>
      <c r="E373" s="24"/>
      <c r="F373" s="24"/>
      <c r="G373" s="24"/>
      <c r="H373" s="24"/>
      <c r="I373" s="24"/>
      <c r="J373" s="24"/>
      <c r="K373" s="24"/>
      <c r="L373" s="24"/>
      <c r="M373" s="24"/>
      <c r="N373" s="200"/>
      <c r="O373" s="199"/>
      <c r="P373" s="24"/>
      <c r="Q373" s="24"/>
      <c r="R373" s="398"/>
      <c r="S373" s="398"/>
      <c r="T373" s="398"/>
      <c r="U373" s="398"/>
      <c r="V373" s="398"/>
      <c r="W373" s="398"/>
      <c r="X373" s="398"/>
      <c r="Y373" s="398"/>
      <c r="Z373" s="398"/>
      <c r="AA373" s="398"/>
      <c r="AB373" s="200"/>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BF373" s="459" t="str">
        <f>IF(OR($I$1094=0,$B$1124=""),BH373,BF375)</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BH373" s="465" t="s">
        <v>1823</v>
      </c>
    </row>
    <row r="374" spans="1:64" ht="4.95" customHeight="1">
      <c r="A374" s="199"/>
      <c r="B374" s="24"/>
      <c r="C374" s="24"/>
      <c r="D374" s="24"/>
      <c r="E374" s="24"/>
      <c r="F374" s="24"/>
      <c r="G374" s="24"/>
      <c r="H374" s="24"/>
      <c r="I374" s="24"/>
      <c r="J374" s="24"/>
      <c r="K374" s="24"/>
      <c r="L374" s="24"/>
      <c r="M374" s="24"/>
      <c r="N374" s="200"/>
      <c r="O374" s="199"/>
      <c r="P374" s="24"/>
      <c r="Q374" s="24"/>
      <c r="R374" s="398"/>
      <c r="S374" s="398"/>
      <c r="T374" s="398"/>
      <c r="U374" s="398"/>
      <c r="V374" s="398"/>
      <c r="W374" s="398"/>
      <c r="X374" s="398"/>
      <c r="Y374" s="398"/>
      <c r="Z374" s="398"/>
      <c r="AA374" s="398"/>
      <c r="AB374" s="200"/>
      <c r="AC374" s="1"/>
      <c r="AD374" s="1"/>
      <c r="AE374" s="1"/>
      <c r="AF374" s="1"/>
      <c r="AG374" s="1"/>
      <c r="AH374" s="1"/>
      <c r="AI374" s="1"/>
      <c r="AJ374" s="1"/>
      <c r="AK374" s="1"/>
      <c r="AL374" s="1"/>
      <c r="AM374" s="1"/>
      <c r="AN374" s="1"/>
      <c r="AO374" s="1"/>
      <c r="AP374" s="1"/>
      <c r="AQ374" s="1"/>
      <c r="AR374" s="1"/>
      <c r="AS374" s="1"/>
      <c r="AT374" s="1"/>
      <c r="AU374" s="1"/>
      <c r="AV374" s="1"/>
      <c r="AW374" s="1"/>
      <c r="AX374" s="1"/>
      <c r="AY374" s="1"/>
    </row>
    <row r="375" spans="1:64" ht="21" customHeight="1">
      <c r="A375" s="199"/>
      <c r="B375" s="1277" t="str">
        <f>BF373</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C375" s="1277"/>
      <c r="D375" s="1277"/>
      <c r="E375" s="1277"/>
      <c r="F375" s="1277"/>
      <c r="G375" s="1277"/>
      <c r="H375" s="1277"/>
      <c r="I375" s="1277"/>
      <c r="J375" s="1277"/>
      <c r="K375" s="1277"/>
      <c r="L375" s="1277"/>
      <c r="M375" s="1277"/>
      <c r="N375" s="200"/>
      <c r="O375" s="199"/>
      <c r="P375" s="24"/>
      <c r="Q375" s="24"/>
      <c r="R375" s="398"/>
      <c r="S375" s="398"/>
      <c r="T375" s="398"/>
      <c r="U375" s="398"/>
      <c r="V375" s="398"/>
      <c r="W375" s="398"/>
      <c r="X375" s="398"/>
      <c r="Y375" s="398"/>
      <c r="Z375" s="398"/>
      <c r="AA375" s="398"/>
      <c r="AB375" s="200"/>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BF375" s="459" t="str">
        <f>CONCATENATE(BH375,BI375,BJ375,BK375,BL375,BM375,BN375,BO375)</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BH375" s="409" t="s">
        <v>1946</v>
      </c>
      <c r="BI375" s="2" t="str">
        <f>BK1122</f>
        <v>let anyone enter</v>
      </c>
      <c r="BJ375" s="409" t="s">
        <v>1684</v>
      </c>
      <c r="BK375" s="2" t="str">
        <f>BG1122</f>
        <v>full inclusion</v>
      </c>
      <c r="BL375" s="409" t="s">
        <v>1682</v>
      </c>
    </row>
    <row r="376" spans="1:64" ht="21" customHeight="1">
      <c r="A376" s="199"/>
      <c r="B376" s="1277"/>
      <c r="C376" s="1277"/>
      <c r="D376" s="1277"/>
      <c r="E376" s="1277"/>
      <c r="F376" s="1277"/>
      <c r="G376" s="1277"/>
      <c r="H376" s="1277"/>
      <c r="I376" s="1277"/>
      <c r="J376" s="1277"/>
      <c r="K376" s="1277"/>
      <c r="L376" s="1277"/>
      <c r="M376" s="1277"/>
      <c r="N376" s="200"/>
      <c r="O376" s="199"/>
      <c r="P376" s="24"/>
      <c r="Q376" s="24"/>
      <c r="R376" s="398"/>
      <c r="S376" s="398"/>
      <c r="T376" s="398"/>
      <c r="U376" s="398"/>
      <c r="V376" s="398"/>
      <c r="W376" s="398"/>
      <c r="X376" s="398"/>
      <c r="Y376" s="398"/>
      <c r="Z376" s="398"/>
      <c r="AA376" s="398"/>
      <c r="AB376" s="200"/>
      <c r="AC376" s="1"/>
      <c r="AD376" s="1"/>
      <c r="AE376" s="1"/>
      <c r="AF376" s="1"/>
      <c r="AG376" s="1"/>
      <c r="AH376" s="1"/>
      <c r="AI376" s="1"/>
      <c r="AJ376" s="1"/>
      <c r="AK376" s="1"/>
      <c r="AL376" s="1"/>
      <c r="AM376" s="1"/>
      <c r="AN376" s="1"/>
      <c r="AO376" s="1"/>
      <c r="AP376" s="1"/>
      <c r="AQ376" s="1"/>
      <c r="AR376" s="1"/>
      <c r="AS376" s="1"/>
      <c r="AT376" s="1"/>
      <c r="AU376" s="1"/>
      <c r="AV376" s="1"/>
      <c r="AW376" s="1"/>
      <c r="AX376" s="1"/>
      <c r="AY376" s="1"/>
    </row>
    <row r="377" spans="1:64" ht="21" customHeight="1">
      <c r="A377" s="199"/>
      <c r="B377" s="1277"/>
      <c r="C377" s="1277"/>
      <c r="D377" s="1277"/>
      <c r="E377" s="1277"/>
      <c r="F377" s="1277"/>
      <c r="G377" s="1277"/>
      <c r="H377" s="1277"/>
      <c r="I377" s="1277"/>
      <c r="J377" s="1277"/>
      <c r="K377" s="1277"/>
      <c r="L377" s="1277"/>
      <c r="M377" s="1277"/>
      <c r="N377" s="200"/>
      <c r="O377" s="199"/>
      <c r="P377" s="24"/>
      <c r="Q377" s="24"/>
      <c r="R377" s="398"/>
      <c r="S377" s="398"/>
      <c r="T377" s="398"/>
      <c r="U377" s="398"/>
      <c r="V377" s="398"/>
      <c r="W377" s="398"/>
      <c r="X377" s="398"/>
      <c r="Y377" s="398"/>
      <c r="Z377" s="398"/>
      <c r="AA377" s="398"/>
      <c r="AB377" s="200"/>
      <c r="AC377" s="1"/>
      <c r="AD377" s="1"/>
      <c r="AE377" s="1"/>
      <c r="AF377" s="1"/>
      <c r="AG377" s="1"/>
      <c r="AH377" s="1"/>
      <c r="AI377" s="1"/>
      <c r="AJ377" s="1"/>
      <c r="AK377" s="1"/>
      <c r="AL377" s="1"/>
      <c r="AM377" s="1"/>
      <c r="AN377" s="1"/>
      <c r="AO377" s="1"/>
      <c r="AP377" s="1"/>
      <c r="AQ377" s="1"/>
      <c r="AR377" s="1"/>
      <c r="AS377" s="1"/>
      <c r="AT377" s="1"/>
      <c r="AU377" s="1"/>
      <c r="AV377" s="1"/>
      <c r="AW377" s="1"/>
      <c r="AX377" s="1"/>
      <c r="AY377" s="1"/>
    </row>
    <row r="378" spans="1:64" ht="21" customHeight="1">
      <c r="A378" s="199"/>
      <c r="B378" s="1277"/>
      <c r="C378" s="1277"/>
      <c r="D378" s="1277"/>
      <c r="E378" s="1277"/>
      <c r="F378" s="1277"/>
      <c r="G378" s="1277"/>
      <c r="H378" s="1277"/>
      <c r="I378" s="1277"/>
      <c r="J378" s="1277"/>
      <c r="K378" s="1277"/>
      <c r="L378" s="1277"/>
      <c r="M378" s="1277"/>
      <c r="N378" s="200"/>
      <c r="O378" s="199"/>
      <c r="P378" s="24"/>
      <c r="Q378" s="24"/>
      <c r="R378" s="398"/>
      <c r="S378" s="398"/>
      <c r="T378" s="398"/>
      <c r="U378" s="398"/>
      <c r="V378" s="398"/>
      <c r="W378" s="398"/>
      <c r="X378" s="398"/>
      <c r="Y378" s="398"/>
      <c r="Z378" s="398"/>
      <c r="AA378" s="398"/>
      <c r="AB378" s="200"/>
      <c r="AC378" s="1"/>
      <c r="AD378" s="1"/>
      <c r="AE378" s="1"/>
      <c r="AF378" s="1"/>
      <c r="AG378" s="1"/>
      <c r="AH378" s="1"/>
      <c r="AI378" s="1"/>
      <c r="AJ378" s="1"/>
      <c r="AK378" s="1"/>
      <c r="AL378" s="1"/>
      <c r="AM378" s="1"/>
      <c r="AN378" s="1"/>
      <c r="AO378" s="1"/>
      <c r="AP378" s="1"/>
      <c r="AQ378" s="1"/>
      <c r="AR378" s="1"/>
      <c r="AS378" s="1"/>
      <c r="AT378" s="1"/>
      <c r="AU378" s="1"/>
      <c r="AV378" s="1"/>
      <c r="AW378" s="1"/>
      <c r="AX378" s="1"/>
      <c r="AY378" s="1"/>
    </row>
    <row r="379" spans="1:64" ht="4.95" customHeight="1">
      <c r="A379" s="199"/>
      <c r="B379" s="24"/>
      <c r="C379" s="24"/>
      <c r="D379" s="24"/>
      <c r="E379" s="24"/>
      <c r="F379" s="24"/>
      <c r="G379" s="24"/>
      <c r="H379" s="24"/>
      <c r="I379" s="24"/>
      <c r="J379" s="24"/>
      <c r="K379" s="24"/>
      <c r="L379" s="24"/>
      <c r="M379" s="24"/>
      <c r="N379" s="200"/>
      <c r="O379" s="199"/>
      <c r="P379" s="24"/>
      <c r="Q379" s="24"/>
      <c r="R379" s="398"/>
      <c r="S379" s="398"/>
      <c r="T379" s="398"/>
      <c r="U379" s="398"/>
      <c r="V379" s="398"/>
      <c r="W379" s="398"/>
      <c r="X379" s="398"/>
      <c r="Y379" s="398"/>
      <c r="Z379" s="398"/>
      <c r="AA379" s="398"/>
      <c r="AB379" s="200"/>
      <c r="AC379" s="1"/>
      <c r="AD379" s="1"/>
      <c r="AE379" s="1"/>
      <c r="AF379" s="1"/>
      <c r="AG379" s="1"/>
      <c r="AH379" s="1"/>
      <c r="AI379" s="1"/>
      <c r="AJ379" s="1"/>
      <c r="AK379" s="1"/>
      <c r="AL379" s="1"/>
      <c r="AM379" s="1"/>
      <c r="AN379" s="1"/>
      <c r="AO379" s="1"/>
      <c r="AP379" s="1"/>
      <c r="AQ379" s="1"/>
      <c r="AR379" s="1"/>
      <c r="AS379" s="1"/>
      <c r="AT379" s="1"/>
      <c r="AU379" s="1"/>
      <c r="AV379" s="1"/>
      <c r="AW379" s="1"/>
      <c r="AX379" s="1"/>
      <c r="AY379" s="1"/>
    </row>
    <row r="380" spans="1:64" ht="19.95" customHeight="1">
      <c r="A380" s="199"/>
      <c r="B380" s="1277" t="s">
        <v>1681</v>
      </c>
      <c r="C380" s="1277"/>
      <c r="D380" s="1277"/>
      <c r="E380" s="1277"/>
      <c r="F380" s="1277"/>
      <c r="G380" s="1277"/>
      <c r="H380" s="1277"/>
      <c r="I380" s="1277"/>
      <c r="J380" s="1277"/>
      <c r="K380" s="1277"/>
      <c r="L380" s="1277"/>
      <c r="M380" s="1277"/>
      <c r="N380" s="200"/>
      <c r="O380" s="199"/>
      <c r="P380" s="24"/>
      <c r="Q380" s="24"/>
      <c r="R380" s="398"/>
      <c r="S380" s="398"/>
      <c r="T380" s="398"/>
      <c r="U380" s="398"/>
      <c r="V380" s="398"/>
      <c r="W380" s="398"/>
      <c r="X380" s="398"/>
      <c r="Y380" s="398"/>
      <c r="Z380" s="398"/>
      <c r="AA380" s="398"/>
      <c r="AB380" s="200"/>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BF380" s="459" t="str">
        <f>CONCATENATE(BH380,BI380,BJ380,BK380,BL380,BM380,BN380,BO380)</f>
        <v/>
      </c>
      <c r="BH380" s="409"/>
    </row>
    <row r="381" spans="1:64" ht="19.95" customHeight="1">
      <c r="A381" s="199"/>
      <c r="B381" s="1277"/>
      <c r="C381" s="1277"/>
      <c r="D381" s="1277"/>
      <c r="E381" s="1277"/>
      <c r="F381" s="1277"/>
      <c r="G381" s="1277"/>
      <c r="H381" s="1277"/>
      <c r="I381" s="1277"/>
      <c r="J381" s="1277"/>
      <c r="K381" s="1277"/>
      <c r="L381" s="1277"/>
      <c r="M381" s="1277"/>
      <c r="N381" s="200"/>
      <c r="O381" s="199"/>
      <c r="P381" s="24"/>
      <c r="Q381" s="24"/>
      <c r="R381" s="398"/>
      <c r="S381" s="398"/>
      <c r="T381" s="398"/>
      <c r="U381" s="398"/>
      <c r="V381" s="398"/>
      <c r="W381" s="398"/>
      <c r="X381" s="398"/>
      <c r="Y381" s="398"/>
      <c r="Z381" s="398"/>
      <c r="AA381" s="398"/>
      <c r="AB381" s="200"/>
      <c r="AC381" s="1"/>
      <c r="AD381" s="1"/>
      <c r="AE381" s="1"/>
      <c r="AF381" s="1"/>
      <c r="AG381" s="1"/>
      <c r="AH381" s="1"/>
      <c r="AI381" s="1"/>
      <c r="AJ381" s="1"/>
      <c r="AK381" s="1"/>
      <c r="AL381" s="1"/>
      <c r="AM381" s="1"/>
      <c r="AN381" s="1"/>
      <c r="AO381" s="1"/>
      <c r="AP381" s="1"/>
      <c r="AQ381" s="1"/>
      <c r="AR381" s="1"/>
      <c r="AS381" s="1"/>
      <c r="AT381" s="1"/>
      <c r="AU381" s="1"/>
      <c r="AV381" s="1"/>
      <c r="AW381" s="1"/>
      <c r="AX381" s="1"/>
      <c r="AY381" s="1"/>
    </row>
    <row r="382" spans="1:64" ht="45" customHeight="1">
      <c r="A382" s="199"/>
      <c r="B382" s="1277"/>
      <c r="C382" s="1277"/>
      <c r="D382" s="1277"/>
      <c r="E382" s="1277"/>
      <c r="F382" s="1277"/>
      <c r="G382" s="1277"/>
      <c r="H382" s="1277"/>
      <c r="I382" s="1277"/>
      <c r="J382" s="1277"/>
      <c r="K382" s="1277"/>
      <c r="L382" s="1277"/>
      <c r="M382" s="1277"/>
      <c r="N382" s="200"/>
      <c r="O382" s="199"/>
      <c r="P382" s="24"/>
      <c r="Q382" s="24"/>
      <c r="R382" s="398"/>
      <c r="S382" s="398"/>
      <c r="T382" s="398"/>
      <c r="U382" s="398"/>
      <c r="V382" s="398"/>
      <c r="W382" s="398"/>
      <c r="X382" s="398"/>
      <c r="Y382" s="398"/>
      <c r="Z382" s="398"/>
      <c r="AA382" s="398"/>
      <c r="AB382" s="200"/>
      <c r="AC382" s="1"/>
      <c r="AD382" s="1"/>
      <c r="AE382" s="1"/>
      <c r="AF382" s="1"/>
      <c r="AG382" s="1"/>
      <c r="AH382" s="1"/>
      <c r="AI382" s="1"/>
      <c r="AJ382" s="1"/>
      <c r="AK382" s="1"/>
      <c r="AL382" s="1"/>
      <c r="AM382" s="1"/>
      <c r="AN382" s="1"/>
      <c r="AO382" s="1"/>
      <c r="AP382" s="1"/>
      <c r="AQ382" s="1"/>
      <c r="AR382" s="1"/>
      <c r="AS382" s="1"/>
      <c r="AT382" s="1"/>
      <c r="AU382" s="1"/>
      <c r="AV382" s="1"/>
      <c r="AW382" s="1"/>
      <c r="AX382" s="1"/>
      <c r="AY382" s="1"/>
    </row>
    <row r="383" spans="1:64" ht="19.95" customHeight="1">
      <c r="A383" s="199"/>
      <c r="B383" s="1277"/>
      <c r="C383" s="1277"/>
      <c r="D383" s="1277"/>
      <c r="E383" s="1277"/>
      <c r="F383" s="1277"/>
      <c r="G383" s="1277"/>
      <c r="H383" s="1277"/>
      <c r="I383" s="1277"/>
      <c r="J383" s="1277"/>
      <c r="K383" s="1277"/>
      <c r="L383" s="1277"/>
      <c r="M383" s="1277"/>
      <c r="N383" s="200"/>
      <c r="O383" s="199"/>
      <c r="P383" s="24"/>
      <c r="Q383" s="24"/>
      <c r="R383" s="398"/>
      <c r="S383" s="398"/>
      <c r="T383" s="398"/>
      <c r="U383" s="398"/>
      <c r="V383" s="398"/>
      <c r="W383" s="398"/>
      <c r="X383" s="398"/>
      <c r="Y383" s="398"/>
      <c r="Z383" s="398"/>
      <c r="AA383" s="398"/>
      <c r="AB383" s="200"/>
      <c r="AC383" s="1"/>
      <c r="AD383" s="1"/>
      <c r="AE383" s="1"/>
      <c r="AF383" s="1"/>
      <c r="AG383" s="1"/>
      <c r="AH383" s="1"/>
      <c r="AI383" s="1"/>
      <c r="AJ383" s="1"/>
      <c r="AK383" s="1"/>
      <c r="AL383" s="1"/>
      <c r="AM383" s="1"/>
      <c r="AN383" s="1"/>
      <c r="AO383" s="1"/>
      <c r="AP383" s="1"/>
      <c r="AQ383" s="1"/>
      <c r="AR383" s="1"/>
      <c r="AS383" s="1"/>
      <c r="AT383" s="1"/>
      <c r="AU383" s="1"/>
      <c r="AV383" s="1"/>
      <c r="AW383" s="1"/>
      <c r="AX383" s="1"/>
      <c r="AY383" s="1"/>
    </row>
    <row r="384" spans="1:64" ht="19.95" customHeight="1">
      <c r="A384" s="199"/>
      <c r="B384" s="1277"/>
      <c r="C384" s="1277"/>
      <c r="D384" s="1277"/>
      <c r="E384" s="1277"/>
      <c r="F384" s="1277"/>
      <c r="G384" s="1277"/>
      <c r="H384" s="1277"/>
      <c r="I384" s="1277"/>
      <c r="J384" s="1277"/>
      <c r="K384" s="1277"/>
      <c r="L384" s="1277"/>
      <c r="M384" s="1277"/>
      <c r="N384" s="200"/>
      <c r="O384" s="199"/>
      <c r="P384" s="24"/>
      <c r="Q384" s="24"/>
      <c r="R384" s="398"/>
      <c r="S384" s="398"/>
      <c r="T384" s="398"/>
      <c r="U384" s="398"/>
      <c r="V384" s="398"/>
      <c r="W384" s="398"/>
      <c r="X384" s="398"/>
      <c r="Y384" s="398"/>
      <c r="Z384" s="398"/>
      <c r="AA384" s="398"/>
      <c r="AB384" s="200"/>
      <c r="AC384" s="1"/>
      <c r="AD384" s="1"/>
      <c r="AE384" s="1"/>
      <c r="AF384" s="1"/>
      <c r="AG384" s="1"/>
      <c r="AH384" s="1"/>
      <c r="AI384" s="1"/>
      <c r="AJ384" s="1"/>
      <c r="AK384" s="1"/>
      <c r="AL384" s="1"/>
      <c r="AM384" s="1"/>
      <c r="AN384" s="1"/>
      <c r="AO384" s="1"/>
      <c r="AP384" s="1"/>
      <c r="AQ384" s="1"/>
      <c r="AR384" s="1"/>
      <c r="AS384" s="1"/>
      <c r="AT384" s="1"/>
      <c r="AU384" s="1"/>
      <c r="AV384" s="1"/>
      <c r="AW384" s="1"/>
      <c r="AX384" s="1"/>
      <c r="AY384" s="1"/>
    </row>
    <row r="385" spans="1:68" ht="10.050000000000001" customHeight="1">
      <c r="A385" s="199"/>
      <c r="B385" s="24"/>
      <c r="C385" s="24"/>
      <c r="D385" s="24"/>
      <c r="E385" s="24"/>
      <c r="F385" s="24"/>
      <c r="G385" s="24"/>
      <c r="H385" s="24"/>
      <c r="I385" s="24"/>
      <c r="J385" s="24"/>
      <c r="K385" s="24"/>
      <c r="L385" s="24"/>
      <c r="M385" s="24"/>
      <c r="N385" s="200"/>
      <c r="O385" s="199"/>
      <c r="P385" s="24"/>
      <c r="Q385" s="24"/>
      <c r="R385" s="398"/>
      <c r="S385" s="398"/>
      <c r="T385" s="398"/>
      <c r="U385" s="398"/>
      <c r="V385" s="398"/>
      <c r="W385" s="398"/>
      <c r="X385" s="398"/>
      <c r="Y385" s="398"/>
      <c r="Z385" s="398"/>
      <c r="AA385" s="398"/>
      <c r="AB385" s="200"/>
      <c r="AC385" s="1"/>
      <c r="AD385" s="1"/>
      <c r="AE385" s="1"/>
      <c r="AF385" s="1"/>
      <c r="AG385" s="1"/>
      <c r="AH385" s="1"/>
      <c r="AI385" s="1"/>
      <c r="AJ385" s="1"/>
      <c r="AK385" s="1"/>
      <c r="AL385" s="1"/>
      <c r="AM385" s="1"/>
      <c r="AN385" s="1"/>
      <c r="AO385" s="1"/>
      <c r="AP385" s="1"/>
      <c r="AQ385" s="1"/>
      <c r="AR385" s="1"/>
      <c r="AS385" s="1"/>
      <c r="AT385" s="1"/>
      <c r="AU385" s="1"/>
      <c r="AV385" s="1"/>
      <c r="AW385" s="1"/>
      <c r="AX385" s="1"/>
      <c r="AY385" s="1"/>
    </row>
    <row r="386" spans="1:68" ht="30" customHeight="1">
      <c r="A386" s="210" t="s">
        <v>1148</v>
      </c>
      <c r="B386" s="399" t="s">
        <v>1281</v>
      </c>
      <c r="C386" s="582"/>
      <c r="D386" s="582"/>
      <c r="E386" s="583"/>
      <c r="F386" s="584"/>
      <c r="G386" s="582"/>
      <c r="H386" s="582"/>
      <c r="I386" s="582"/>
      <c r="J386" s="582"/>
      <c r="K386" s="582"/>
      <c r="L386" s="373"/>
      <c r="M386" s="373"/>
      <c r="N386" s="211" t="s">
        <v>1149</v>
      </c>
      <c r="O386" s="372"/>
      <c r="P386" s="374"/>
      <c r="Q386" s="373"/>
      <c r="R386" s="373"/>
      <c r="S386" s="373"/>
      <c r="T386" s="373"/>
      <c r="U386" s="373"/>
      <c r="V386" s="373"/>
      <c r="W386" s="373"/>
      <c r="X386" s="373"/>
      <c r="Y386" s="373"/>
      <c r="Z386" s="373"/>
      <c r="AA386" s="373"/>
      <c r="AB386" s="211" t="s">
        <v>1149</v>
      </c>
      <c r="AC386" s="577"/>
      <c r="AD386" s="1"/>
      <c r="AE386" s="577"/>
      <c r="AF386" s="577"/>
      <c r="AG386" s="577"/>
      <c r="AH386" s="577"/>
      <c r="AI386" s="577"/>
      <c r="AJ386" s="577"/>
      <c r="AK386" s="577"/>
      <c r="AL386" s="577"/>
      <c r="AM386" s="577"/>
      <c r="AN386" s="577"/>
      <c r="AO386" s="577"/>
      <c r="AP386" s="577"/>
      <c r="AQ386" s="577"/>
      <c r="AR386" s="577"/>
      <c r="AS386" s="577"/>
      <c r="AT386" s="577"/>
      <c r="AU386" s="577"/>
      <c r="AV386" s="577"/>
      <c r="AW386" s="577"/>
      <c r="AX386" s="577"/>
      <c r="AY386" s="577"/>
    </row>
    <row r="387" spans="1:68" ht="10.050000000000001" customHeight="1">
      <c r="A387" s="199"/>
      <c r="B387" s="24"/>
      <c r="C387" s="24"/>
      <c r="D387" s="24"/>
      <c r="E387" s="24"/>
      <c r="F387" s="24"/>
      <c r="G387" s="24"/>
      <c r="H387" s="24"/>
      <c r="I387" s="24"/>
      <c r="J387" s="24"/>
      <c r="K387" s="24"/>
      <c r="L387" s="24"/>
      <c r="M387" s="24"/>
      <c r="N387" s="200"/>
      <c r="O387" s="199"/>
      <c r="P387" s="24"/>
      <c r="Q387" s="24"/>
      <c r="R387" s="398"/>
      <c r="S387" s="398"/>
      <c r="T387" s="398"/>
      <c r="U387" s="398"/>
      <c r="V387" s="398"/>
      <c r="W387" s="398"/>
      <c r="X387" s="398"/>
      <c r="Y387" s="398"/>
      <c r="Z387" s="398"/>
      <c r="AA387" s="398"/>
      <c r="AB387" s="200"/>
      <c r="AC387" s="1"/>
      <c r="AD387" s="1"/>
      <c r="AE387" s="1"/>
      <c r="AF387" s="1"/>
      <c r="AG387" s="1"/>
      <c r="AH387" s="1"/>
      <c r="AI387" s="1"/>
      <c r="AJ387" s="1"/>
      <c r="AK387" s="1"/>
      <c r="AL387" s="1"/>
      <c r="AM387" s="1"/>
      <c r="AN387" s="1"/>
      <c r="AO387" s="1"/>
      <c r="AP387" s="1"/>
      <c r="AQ387" s="1"/>
      <c r="AR387" s="1"/>
      <c r="AS387" s="1"/>
      <c r="AT387" s="1"/>
      <c r="AU387" s="1"/>
      <c r="AV387" s="1"/>
      <c r="AW387" s="1"/>
      <c r="AX387" s="1"/>
      <c r="AY387" s="1"/>
    </row>
    <row r="388" spans="1:68" ht="19.95" customHeight="1">
      <c r="A388" s="199"/>
      <c r="B388" s="588" t="s">
        <v>1594</v>
      </c>
      <c r="C388" s="24"/>
      <c r="D388" s="24"/>
      <c r="E388" s="24"/>
      <c r="F388" s="24"/>
      <c r="G388" s="24"/>
      <c r="H388" s="24"/>
      <c r="I388" s="24"/>
      <c r="J388" s="24"/>
      <c r="K388" s="24"/>
      <c r="L388" s="24"/>
      <c r="M388" s="24"/>
      <c r="N388" s="200"/>
      <c r="O388" s="199"/>
      <c r="P388" s="24"/>
      <c r="Q388" s="24"/>
      <c r="R388" s="398"/>
      <c r="S388" s="398"/>
      <c r="T388" s="398"/>
      <c r="U388" s="398"/>
      <c r="V388" s="398"/>
      <c r="W388" s="398"/>
      <c r="X388" s="398"/>
      <c r="Y388" s="398"/>
      <c r="Z388" s="398"/>
      <c r="AA388" s="398"/>
      <c r="AB388" s="200"/>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BF388" s="459" t="str">
        <f>CONCATENATE(BH388,BI388,BJ388,BK388,BL388,BM388,BN388,BO388)</f>
        <v/>
      </c>
      <c r="BH388" s="409"/>
    </row>
    <row r="389" spans="1:68" ht="4.95" customHeight="1">
      <c r="A389" s="199"/>
      <c r="B389" s="24"/>
      <c r="C389" s="24"/>
      <c r="D389" s="24"/>
      <c r="E389" s="24"/>
      <c r="F389" s="24"/>
      <c r="G389" s="24"/>
      <c r="H389" s="24"/>
      <c r="I389" s="24"/>
      <c r="J389" s="24"/>
      <c r="K389" s="24"/>
      <c r="L389" s="24"/>
      <c r="M389" s="24"/>
      <c r="N389" s="200"/>
      <c r="O389" s="199"/>
      <c r="P389" s="24"/>
      <c r="Q389" s="24"/>
      <c r="R389" s="398"/>
      <c r="S389" s="398"/>
      <c r="T389" s="398"/>
      <c r="U389" s="398"/>
      <c r="V389" s="398"/>
      <c r="W389" s="398"/>
      <c r="X389" s="398"/>
      <c r="Y389" s="398"/>
      <c r="Z389" s="398"/>
      <c r="AA389" s="398"/>
      <c r="AB389" s="200"/>
      <c r="AC389" s="1"/>
      <c r="AD389" s="1"/>
      <c r="AE389" s="1"/>
      <c r="AF389" s="1"/>
      <c r="AG389" s="1"/>
      <c r="AH389" s="1"/>
      <c r="AI389" s="1"/>
      <c r="AJ389" s="1"/>
      <c r="AK389" s="1"/>
      <c r="AL389" s="1"/>
      <c r="AM389" s="1"/>
      <c r="AN389" s="1"/>
      <c r="AO389" s="1"/>
      <c r="AP389" s="1"/>
      <c r="AQ389" s="1"/>
      <c r="AR389" s="1"/>
      <c r="AS389" s="1"/>
      <c r="AT389" s="1"/>
      <c r="AU389" s="1"/>
      <c r="AV389" s="1"/>
      <c r="AW389" s="1"/>
      <c r="AX389" s="1"/>
      <c r="AY389" s="1"/>
    </row>
    <row r="390" spans="1:68" ht="19.95" customHeight="1">
      <c r="A390" s="199"/>
      <c r="B390" s="24"/>
      <c r="C390" s="24"/>
      <c r="D390" s="24"/>
      <c r="E390" s="1277" t="s">
        <v>1668</v>
      </c>
      <c r="F390" s="1277"/>
      <c r="G390" s="1277"/>
      <c r="H390" s="1277"/>
      <c r="I390" s="1277"/>
      <c r="J390" s="1277"/>
      <c r="K390" s="1277"/>
      <c r="L390" s="1277"/>
      <c r="M390" s="1277"/>
      <c r="N390" s="200"/>
      <c r="O390" s="199"/>
      <c r="P390" s="24"/>
      <c r="Q390" s="24"/>
      <c r="R390" s="398"/>
      <c r="S390" s="398"/>
      <c r="T390" s="398"/>
      <c r="U390" s="398"/>
      <c r="V390" s="398"/>
      <c r="W390" s="398"/>
      <c r="X390" s="398"/>
      <c r="Y390" s="398"/>
      <c r="Z390" s="398"/>
      <c r="AA390" s="398"/>
      <c r="AB390" s="200"/>
      <c r="AC390" s="1"/>
      <c r="AD390" s="1"/>
      <c r="AE390" s="1"/>
      <c r="AF390" s="1"/>
      <c r="AG390" s="1"/>
      <c r="AH390" s="1"/>
      <c r="AI390" s="1"/>
      <c r="AJ390" s="1"/>
      <c r="AK390" s="1"/>
      <c r="AL390" s="1"/>
      <c r="AM390" s="1"/>
      <c r="AN390" s="1"/>
      <c r="AO390" s="1"/>
      <c r="AP390" s="1"/>
      <c r="AQ390" s="1"/>
      <c r="AR390" s="1"/>
      <c r="AS390" s="1"/>
      <c r="AT390" s="1"/>
      <c r="AU390" s="1"/>
      <c r="AV390" s="1"/>
      <c r="AW390" s="1"/>
      <c r="AX390" s="1"/>
      <c r="AY390" s="1"/>
    </row>
    <row r="391" spans="1:68" ht="19.95" customHeight="1">
      <c r="A391" s="199"/>
      <c r="B391" s="24"/>
      <c r="C391" s="24"/>
      <c r="D391" s="24"/>
      <c r="E391" s="1277"/>
      <c r="F391" s="1277"/>
      <c r="G391" s="1277"/>
      <c r="H391" s="1277"/>
      <c r="I391" s="1277"/>
      <c r="J391" s="1277"/>
      <c r="K391" s="1277"/>
      <c r="L391" s="1277"/>
      <c r="M391" s="1277"/>
      <c r="N391" s="200"/>
      <c r="O391" s="199"/>
      <c r="P391" s="24"/>
      <c r="Q391" s="24"/>
      <c r="R391" s="398"/>
      <c r="S391" s="398"/>
      <c r="T391" s="398"/>
      <c r="U391" s="398"/>
      <c r="V391" s="398"/>
      <c r="W391" s="398"/>
      <c r="X391" s="398"/>
      <c r="Y391" s="398"/>
      <c r="Z391" s="398"/>
      <c r="AA391" s="398"/>
      <c r="AB391" s="200"/>
      <c r="AC391" s="1"/>
      <c r="AD391" s="1"/>
      <c r="AE391" s="1"/>
      <c r="AF391" s="1"/>
      <c r="AG391" s="1"/>
      <c r="AH391" s="1"/>
      <c r="AI391" s="1"/>
      <c r="AJ391" s="1"/>
      <c r="AK391" s="1"/>
      <c r="AL391" s="1"/>
      <c r="AM391" s="1"/>
      <c r="AN391" s="1"/>
      <c r="AO391" s="1"/>
      <c r="AP391" s="1"/>
      <c r="AQ391" s="1"/>
      <c r="AR391" s="1"/>
      <c r="AS391" s="1"/>
      <c r="AT391" s="1"/>
      <c r="AU391" s="1"/>
      <c r="AV391" s="1"/>
      <c r="AW391" s="1"/>
      <c r="AX391" s="1"/>
      <c r="AY391" s="1"/>
    </row>
    <row r="392" spans="1:68" ht="19.95" customHeight="1">
      <c r="A392" s="199"/>
      <c r="B392" s="24"/>
      <c r="C392" s="24"/>
      <c r="D392" s="24"/>
      <c r="E392" s="1277"/>
      <c r="F392" s="1277"/>
      <c r="G392" s="1277"/>
      <c r="H392" s="1277"/>
      <c r="I392" s="1277"/>
      <c r="J392" s="1277"/>
      <c r="K392" s="1277"/>
      <c r="L392" s="1277"/>
      <c r="M392" s="1277"/>
      <c r="N392" s="200"/>
      <c r="O392" s="199"/>
      <c r="P392" s="24"/>
      <c r="Q392" s="24"/>
      <c r="R392" s="398"/>
      <c r="S392" s="398"/>
      <c r="T392" s="398"/>
      <c r="U392" s="398"/>
      <c r="V392" s="398"/>
      <c r="W392" s="398"/>
      <c r="X392" s="398"/>
      <c r="Y392" s="398"/>
      <c r="Z392" s="398"/>
      <c r="AA392" s="398"/>
      <c r="AB392" s="200"/>
      <c r="AC392" s="1"/>
      <c r="AD392" s="1"/>
      <c r="AE392" s="1"/>
      <c r="AF392" s="1"/>
      <c r="AG392" s="1"/>
      <c r="AH392" s="1"/>
      <c r="AI392" s="1"/>
      <c r="AJ392" s="1"/>
      <c r="AK392" s="1"/>
      <c r="AL392" s="1"/>
      <c r="AM392" s="1"/>
      <c r="AN392" s="1"/>
      <c r="AO392" s="1"/>
      <c r="AP392" s="1"/>
      <c r="AQ392" s="1"/>
      <c r="AR392" s="1"/>
      <c r="AS392" s="1"/>
      <c r="AT392" s="1"/>
      <c r="AU392" s="1"/>
      <c r="AV392" s="1"/>
      <c r="AW392" s="1"/>
      <c r="AX392" s="1"/>
      <c r="AY392" s="1"/>
    </row>
    <row r="393" spans="1:68" ht="19.95" customHeight="1">
      <c r="A393" s="199"/>
      <c r="B393" s="24"/>
      <c r="C393" s="24"/>
      <c r="D393" s="24"/>
      <c r="E393" s="1277"/>
      <c r="F393" s="1277"/>
      <c r="G393" s="1277"/>
      <c r="H393" s="1277"/>
      <c r="I393" s="1277"/>
      <c r="J393" s="1277"/>
      <c r="K393" s="1277"/>
      <c r="L393" s="1277"/>
      <c r="M393" s="1277"/>
      <c r="N393" s="200"/>
      <c r="O393" s="199"/>
      <c r="P393" s="24"/>
      <c r="Q393" s="24"/>
      <c r="R393" s="398"/>
      <c r="S393" s="398"/>
      <c r="T393" s="398"/>
      <c r="U393" s="398"/>
      <c r="V393" s="398"/>
      <c r="W393" s="398"/>
      <c r="X393" s="398"/>
      <c r="Y393" s="398"/>
      <c r="Z393" s="398"/>
      <c r="AA393" s="398"/>
      <c r="AB393" s="200"/>
      <c r="AC393" s="1"/>
      <c r="AD393" s="1"/>
      <c r="AE393" s="1"/>
      <c r="AF393" s="1"/>
      <c r="AG393" s="1"/>
      <c r="AH393" s="1"/>
      <c r="AI393" s="1"/>
      <c r="AJ393" s="1"/>
      <c r="AK393" s="1"/>
      <c r="AL393" s="1"/>
      <c r="AM393" s="1"/>
      <c r="AN393" s="1"/>
      <c r="AO393" s="1"/>
      <c r="AP393" s="1"/>
      <c r="AQ393" s="1"/>
      <c r="AR393" s="1"/>
      <c r="AS393" s="1"/>
      <c r="AT393" s="1"/>
      <c r="AU393" s="1"/>
      <c r="AV393" s="1"/>
      <c r="AW393" s="1"/>
      <c r="AX393" s="1"/>
      <c r="AY393" s="1"/>
    </row>
    <row r="394" spans="1:68" ht="19.95" customHeight="1">
      <c r="A394" s="199"/>
      <c r="B394" s="24"/>
      <c r="C394" s="24"/>
      <c r="D394" s="24"/>
      <c r="E394" s="1277"/>
      <c r="F394" s="1277"/>
      <c r="G394" s="1277"/>
      <c r="H394" s="1277"/>
      <c r="I394" s="1277"/>
      <c r="J394" s="1277"/>
      <c r="K394" s="1277"/>
      <c r="L394" s="1277"/>
      <c r="M394" s="1277"/>
      <c r="N394" s="200"/>
      <c r="O394" s="199"/>
      <c r="P394" s="24"/>
      <c r="Q394" s="24"/>
      <c r="R394" s="398"/>
      <c r="S394" s="398"/>
      <c r="T394" s="398"/>
      <c r="U394" s="398"/>
      <c r="V394" s="398"/>
      <c r="W394" s="398"/>
      <c r="X394" s="398"/>
      <c r="Y394" s="398"/>
      <c r="Z394" s="398"/>
      <c r="AA394" s="398"/>
      <c r="AB394" s="200"/>
      <c r="AC394" s="1"/>
      <c r="AD394" s="1"/>
      <c r="AE394" s="1"/>
      <c r="AF394" s="1"/>
      <c r="AG394" s="1"/>
      <c r="AH394" s="1"/>
      <c r="AI394" s="1"/>
      <c r="AJ394" s="1"/>
      <c r="AK394" s="1"/>
      <c r="AL394" s="1"/>
      <c r="AM394" s="1"/>
      <c r="AN394" s="1"/>
      <c r="AO394" s="1"/>
      <c r="AP394" s="1"/>
      <c r="AQ394" s="1"/>
      <c r="AR394" s="1"/>
      <c r="AS394" s="1"/>
      <c r="AT394" s="1"/>
      <c r="AU394" s="1"/>
      <c r="AV394" s="1"/>
      <c r="AW394" s="1"/>
      <c r="AX394" s="1"/>
      <c r="AY394" s="1"/>
    </row>
    <row r="395" spans="1:68" ht="19.95" customHeight="1">
      <c r="A395" s="199"/>
      <c r="B395" s="24"/>
      <c r="C395" s="24"/>
      <c r="D395" s="24"/>
      <c r="E395" s="1277"/>
      <c r="F395" s="1277"/>
      <c r="G395" s="1277"/>
      <c r="H395" s="1277"/>
      <c r="I395" s="1277"/>
      <c r="J395" s="1277"/>
      <c r="K395" s="1277"/>
      <c r="L395" s="1277"/>
      <c r="M395" s="1277"/>
      <c r="N395" s="200"/>
      <c r="O395" s="199"/>
      <c r="P395" s="24"/>
      <c r="Q395" s="24"/>
      <c r="R395" s="398"/>
      <c r="S395" s="398"/>
      <c r="T395" s="398"/>
      <c r="U395" s="398"/>
      <c r="V395" s="398"/>
      <c r="W395" s="398"/>
      <c r="X395" s="398"/>
      <c r="Y395" s="398"/>
      <c r="Z395" s="398"/>
      <c r="AA395" s="398"/>
      <c r="AB395" s="200"/>
      <c r="AC395" s="1"/>
      <c r="AD395" s="1"/>
      <c r="AE395" s="1"/>
      <c r="AF395" s="1"/>
      <c r="AG395" s="1"/>
      <c r="AH395" s="1"/>
      <c r="AI395" s="1"/>
      <c r="AJ395" s="1"/>
      <c r="AK395" s="1"/>
      <c r="AL395" s="1"/>
      <c r="AM395" s="1"/>
      <c r="AN395" s="1"/>
      <c r="AO395" s="1"/>
      <c r="AP395" s="1"/>
      <c r="AQ395" s="1"/>
      <c r="AR395" s="1"/>
      <c r="AS395" s="1"/>
      <c r="AT395" s="1"/>
      <c r="AU395" s="1"/>
      <c r="AV395" s="1"/>
      <c r="AW395" s="1"/>
      <c r="AX395" s="1"/>
      <c r="AY395" s="1"/>
    </row>
    <row r="396" spans="1:68" ht="19.95" customHeight="1">
      <c r="A396" s="199"/>
      <c r="B396" s="24"/>
      <c r="C396" s="24"/>
      <c r="D396" s="24"/>
      <c r="E396" s="1277"/>
      <c r="F396" s="1277"/>
      <c r="G396" s="1277"/>
      <c r="H396" s="1277"/>
      <c r="I396" s="1277"/>
      <c r="J396" s="1277"/>
      <c r="K396" s="1277"/>
      <c r="L396" s="1277"/>
      <c r="M396" s="1277"/>
      <c r="N396" s="200"/>
      <c r="O396" s="199"/>
      <c r="P396" s="24"/>
      <c r="Q396" s="24"/>
      <c r="R396" s="398"/>
      <c r="S396" s="398"/>
      <c r="T396" s="398"/>
      <c r="U396" s="398"/>
      <c r="V396" s="398"/>
      <c r="W396" s="398"/>
      <c r="X396" s="398"/>
      <c r="Y396" s="398"/>
      <c r="Z396" s="398"/>
      <c r="AA396" s="398"/>
      <c r="AB396" s="200"/>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BF396" s="459" t="str">
        <f>IF(OR($I$1094=0,$I$1096=0,$B$1124=""),BH396,BF398)</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BH396" s="465" t="s">
        <v>1824</v>
      </c>
    </row>
    <row r="397" spans="1:68" ht="4.95" customHeight="1">
      <c r="A397" s="199"/>
      <c r="B397" s="24"/>
      <c r="C397" s="24"/>
      <c r="D397" s="24"/>
      <c r="E397" s="24"/>
      <c r="F397" s="24"/>
      <c r="G397" s="24"/>
      <c r="H397" s="24"/>
      <c r="I397" s="24"/>
      <c r="J397" s="24"/>
      <c r="K397" s="24"/>
      <c r="L397" s="24"/>
      <c r="M397" s="24"/>
      <c r="N397" s="200"/>
      <c r="O397" s="199"/>
      <c r="P397" s="24"/>
      <c r="Q397" s="24"/>
      <c r="R397" s="398"/>
      <c r="S397" s="398"/>
      <c r="T397" s="398"/>
      <c r="U397" s="398"/>
      <c r="V397" s="398"/>
      <c r="W397" s="398"/>
      <c r="X397" s="398"/>
      <c r="Y397" s="398"/>
      <c r="Z397" s="398"/>
      <c r="AA397" s="398"/>
      <c r="AB397" s="200"/>
      <c r="AC397" s="1"/>
      <c r="AD397" s="1"/>
      <c r="AE397" s="1"/>
      <c r="AF397" s="1"/>
      <c r="AG397" s="1"/>
      <c r="AH397" s="1"/>
      <c r="AI397" s="1"/>
      <c r="AJ397" s="1"/>
      <c r="AK397" s="1"/>
      <c r="AL397" s="1"/>
      <c r="AM397" s="1"/>
      <c r="AN397" s="1"/>
      <c r="AO397" s="1"/>
      <c r="AP397" s="1"/>
      <c r="AQ397" s="1"/>
      <c r="AR397" s="1"/>
      <c r="AS397" s="1"/>
      <c r="AT397" s="1"/>
      <c r="AU397" s="1"/>
      <c r="AV397" s="1"/>
      <c r="AW397" s="1"/>
      <c r="AX397" s="1"/>
      <c r="AY397" s="1"/>
    </row>
    <row r="398" spans="1:68" ht="19.05" customHeight="1">
      <c r="A398" s="199"/>
      <c r="B398" s="1277" t="str">
        <f>BF396</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C398" s="1277"/>
      <c r="D398" s="1277"/>
      <c r="E398" s="1277"/>
      <c r="F398" s="1277"/>
      <c r="G398" s="1277"/>
      <c r="H398" s="1277"/>
      <c r="I398" s="1277"/>
      <c r="J398" s="1277"/>
      <c r="K398" s="1277"/>
      <c r="L398" s="1277"/>
      <c r="M398" s="1277"/>
      <c r="N398" s="200"/>
      <c r="O398" s="199"/>
      <c r="P398" s="24"/>
      <c r="Q398" s="24"/>
      <c r="R398" s="398"/>
      <c r="S398" s="398"/>
      <c r="T398" s="398"/>
      <c r="U398" s="398"/>
      <c r="V398" s="398"/>
      <c r="W398" s="398"/>
      <c r="X398" s="398"/>
      <c r="Y398" s="398"/>
      <c r="Z398" s="398"/>
      <c r="AA398" s="398"/>
      <c r="AB398" s="200"/>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BF398" s="459" t="str">
        <f>CONCATENATE(BH398,BI398,BJ398,BK398,BL398,BM398,BN398,BO398,BP398)</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BH398" s="409" t="s">
        <v>1655</v>
      </c>
      <c r="BI398" s="2" t="str">
        <f>R1122</f>
        <v>help all immigrants</v>
      </c>
      <c r="BJ398" s="409" t="s">
        <v>1656</v>
      </c>
      <c r="BK398" s="2" t="str">
        <f>X1122</f>
        <v>alienation</v>
      </c>
      <c r="BL398" s="409" t="s">
        <v>1378</v>
      </c>
      <c r="BM398" s="2" t="str">
        <f>Z1122</f>
        <v>loneliness</v>
      </c>
      <c r="BN398" s="409" t="s">
        <v>1692</v>
      </c>
      <c r="BO398" s="2" t="str">
        <f>D1124</f>
        <v>immigration</v>
      </c>
      <c r="BP398" s="409" t="s">
        <v>706</v>
      </c>
    </row>
    <row r="399" spans="1:68" ht="19.05" customHeight="1">
      <c r="A399" s="199"/>
      <c r="B399" s="1277"/>
      <c r="C399" s="1277"/>
      <c r="D399" s="1277"/>
      <c r="E399" s="1277"/>
      <c r="F399" s="1277"/>
      <c r="G399" s="1277"/>
      <c r="H399" s="1277"/>
      <c r="I399" s="1277"/>
      <c r="J399" s="1277"/>
      <c r="K399" s="1277"/>
      <c r="L399" s="1277"/>
      <c r="M399" s="1277"/>
      <c r="N399" s="200"/>
      <c r="O399" s="199"/>
      <c r="P399" s="24"/>
      <c r="Q399" s="24"/>
      <c r="R399" s="398"/>
      <c r="S399" s="398"/>
      <c r="T399" s="398"/>
      <c r="U399" s="398"/>
      <c r="V399" s="398"/>
      <c r="W399" s="398"/>
      <c r="X399" s="398"/>
      <c r="Y399" s="398"/>
      <c r="Z399" s="398"/>
      <c r="AA399" s="398"/>
      <c r="AB399" s="200"/>
      <c r="AC399" s="1"/>
      <c r="AD399" s="1"/>
      <c r="AE399" s="1"/>
      <c r="AF399" s="1"/>
      <c r="AG399" s="1"/>
      <c r="AH399" s="1"/>
      <c r="AI399" s="1"/>
      <c r="AJ399" s="1"/>
      <c r="AK399" s="1"/>
      <c r="AL399" s="1"/>
      <c r="AM399" s="1"/>
      <c r="AN399" s="1"/>
      <c r="AO399" s="1"/>
      <c r="AP399" s="1"/>
      <c r="AQ399" s="1"/>
      <c r="AR399" s="1"/>
      <c r="AS399" s="1"/>
      <c r="AT399" s="1"/>
      <c r="AU399" s="1"/>
      <c r="AV399" s="1"/>
      <c r="AW399" s="1"/>
      <c r="AX399" s="1"/>
      <c r="AY399" s="1"/>
    </row>
    <row r="400" spans="1:68" ht="19.05" customHeight="1">
      <c r="A400" s="199"/>
      <c r="B400" s="1277"/>
      <c r="C400" s="1277"/>
      <c r="D400" s="1277"/>
      <c r="E400" s="1277"/>
      <c r="F400" s="1277"/>
      <c r="G400" s="1277"/>
      <c r="H400" s="1277"/>
      <c r="I400" s="1277"/>
      <c r="J400" s="1277"/>
      <c r="K400" s="1277"/>
      <c r="L400" s="1277"/>
      <c r="M400" s="1277"/>
      <c r="N400" s="200"/>
      <c r="O400" s="199"/>
      <c r="P400" s="24"/>
      <c r="Q400" s="24"/>
      <c r="R400" s="398"/>
      <c r="S400" s="398"/>
      <c r="T400" s="398"/>
      <c r="U400" s="398"/>
      <c r="V400" s="398"/>
      <c r="W400" s="398"/>
      <c r="X400" s="398"/>
      <c r="Y400" s="398"/>
      <c r="Z400" s="398"/>
      <c r="AA400" s="398"/>
      <c r="AB400" s="200"/>
      <c r="AC400" s="1"/>
      <c r="AD400" s="1"/>
      <c r="AE400" s="1"/>
      <c r="AF400" s="1"/>
      <c r="AG400" s="1"/>
      <c r="AH400" s="1"/>
      <c r="AI400" s="1"/>
      <c r="AJ400" s="1"/>
      <c r="AK400" s="1"/>
      <c r="AL400" s="1"/>
      <c r="AM400" s="1"/>
      <c r="AN400" s="1"/>
      <c r="AO400" s="1"/>
      <c r="AP400" s="1"/>
      <c r="AQ400" s="1"/>
      <c r="AR400" s="1"/>
      <c r="AS400" s="1"/>
      <c r="AT400" s="1"/>
      <c r="AU400" s="1"/>
      <c r="AV400" s="1"/>
      <c r="AW400" s="1"/>
      <c r="AX400" s="1"/>
      <c r="AY400" s="1"/>
    </row>
    <row r="401" spans="1:67" ht="19.05" customHeight="1">
      <c r="A401" s="199"/>
      <c r="B401" s="1277"/>
      <c r="C401" s="1277"/>
      <c r="D401" s="1277"/>
      <c r="E401" s="1277"/>
      <c r="F401" s="1277"/>
      <c r="G401" s="1277"/>
      <c r="H401" s="1277"/>
      <c r="I401" s="1277"/>
      <c r="J401" s="1277"/>
      <c r="K401" s="1277"/>
      <c r="L401" s="1277"/>
      <c r="M401" s="1277"/>
      <c r="N401" s="200"/>
      <c r="O401" s="199"/>
      <c r="P401" s="24"/>
      <c r="Q401" s="24"/>
      <c r="R401" s="398"/>
      <c r="S401" s="398"/>
      <c r="T401" s="398"/>
      <c r="U401" s="398"/>
      <c r="V401" s="398"/>
      <c r="W401" s="398"/>
      <c r="X401" s="398"/>
      <c r="Y401" s="398"/>
      <c r="Z401" s="398"/>
      <c r="AA401" s="398"/>
      <c r="AB401" s="200"/>
      <c r="AC401" s="1"/>
      <c r="AD401" s="1"/>
      <c r="AE401" s="1"/>
      <c r="AF401" s="1"/>
      <c r="AG401" s="1"/>
      <c r="AH401" s="1"/>
      <c r="AI401" s="1"/>
      <c r="AJ401" s="1"/>
      <c r="AK401" s="1"/>
      <c r="AL401" s="1"/>
      <c r="AM401" s="1"/>
      <c r="AN401" s="1"/>
      <c r="AO401" s="1"/>
      <c r="AP401" s="1"/>
      <c r="AQ401" s="1"/>
      <c r="AR401" s="1"/>
      <c r="AS401" s="1"/>
      <c r="AT401" s="1"/>
      <c r="AU401" s="1"/>
      <c r="AV401" s="1"/>
      <c r="AW401" s="1"/>
      <c r="AX401" s="1"/>
      <c r="AY401" s="1"/>
    </row>
    <row r="402" spans="1:67" ht="19.05" customHeight="1">
      <c r="A402" s="199"/>
      <c r="B402" s="1277"/>
      <c r="C402" s="1277"/>
      <c r="D402" s="1277"/>
      <c r="E402" s="1277"/>
      <c r="F402" s="1277"/>
      <c r="G402" s="1277"/>
      <c r="H402" s="1277"/>
      <c r="I402" s="1277"/>
      <c r="J402" s="1277"/>
      <c r="K402" s="1277"/>
      <c r="L402" s="1277"/>
      <c r="M402" s="1277"/>
      <c r="N402" s="200"/>
      <c r="O402" s="199"/>
      <c r="P402" s="24"/>
      <c r="Q402" s="24"/>
      <c r="R402" s="398"/>
      <c r="S402" s="398"/>
      <c r="T402" s="398"/>
      <c r="U402" s="398"/>
      <c r="V402" s="398"/>
      <c r="W402" s="398"/>
      <c r="X402" s="398"/>
      <c r="Y402" s="398"/>
      <c r="Z402" s="398"/>
      <c r="AA402" s="398"/>
      <c r="AB402" s="200"/>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BF402" s="459" t="str">
        <f>IF(OR($I$1094=0,$I$1096=0,$B$1124=""),BH402,BF404)</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BH402" s="465" t="s">
        <v>1825</v>
      </c>
    </row>
    <row r="403" spans="1:67" ht="4.95" customHeight="1">
      <c r="A403" s="199"/>
      <c r="B403" s="24"/>
      <c r="C403" s="24"/>
      <c r="D403" s="24"/>
      <c r="E403" s="24"/>
      <c r="F403" s="24"/>
      <c r="G403" s="24"/>
      <c r="H403" s="24"/>
      <c r="I403" s="24"/>
      <c r="J403" s="24"/>
      <c r="K403" s="24"/>
      <c r="L403" s="24"/>
      <c r="M403" s="24"/>
      <c r="N403" s="200"/>
      <c r="O403" s="199"/>
      <c r="P403" s="24"/>
      <c r="Q403" s="24"/>
      <c r="R403" s="398"/>
      <c r="S403" s="398"/>
      <c r="T403" s="398"/>
      <c r="U403" s="398"/>
      <c r="V403" s="398"/>
      <c r="W403" s="398"/>
      <c r="X403" s="398"/>
      <c r="Y403" s="398"/>
      <c r="Z403" s="398"/>
      <c r="AA403" s="398"/>
      <c r="AB403" s="200"/>
      <c r="AC403" s="1"/>
      <c r="AD403" s="1"/>
      <c r="AE403" s="1"/>
      <c r="AF403" s="1"/>
      <c r="AG403" s="1"/>
      <c r="AH403" s="1"/>
      <c r="AI403" s="1"/>
      <c r="AJ403" s="1"/>
      <c r="AK403" s="1"/>
      <c r="AL403" s="1"/>
      <c r="AM403" s="1"/>
      <c r="AN403" s="1"/>
      <c r="AO403" s="1"/>
      <c r="AP403" s="1"/>
      <c r="AQ403" s="1"/>
      <c r="AR403" s="1"/>
      <c r="AS403" s="1"/>
      <c r="AT403" s="1"/>
      <c r="AU403" s="1"/>
      <c r="AV403" s="1"/>
      <c r="AW403" s="1"/>
      <c r="AX403" s="1"/>
      <c r="AY403" s="1"/>
    </row>
    <row r="404" spans="1:67" ht="19.05" customHeight="1">
      <c r="A404" s="199"/>
      <c r="B404" s="1277" t="str">
        <f>BF402</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C404" s="1277"/>
      <c r="D404" s="1277"/>
      <c r="E404" s="1277"/>
      <c r="F404" s="1277"/>
      <c r="G404" s="1277"/>
      <c r="H404" s="1277"/>
      <c r="I404" s="1277"/>
      <c r="J404" s="1277"/>
      <c r="K404" s="1277"/>
      <c r="L404" s="1277"/>
      <c r="M404" s="1277"/>
      <c r="N404" s="200"/>
      <c r="O404" s="199"/>
      <c r="P404" s="24"/>
      <c r="Q404" s="24"/>
      <c r="R404" s="398"/>
      <c r="S404" s="398"/>
      <c r="T404" s="398"/>
      <c r="U404" s="398"/>
      <c r="V404" s="398"/>
      <c r="W404" s="398"/>
      <c r="X404" s="398"/>
      <c r="Y404" s="398"/>
      <c r="Z404" s="398"/>
      <c r="AA404" s="398"/>
      <c r="AB404" s="200"/>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BF404" s="459" t="str">
        <f>CONCATENATE(BH404,BI404,BJ404,BK404,BL404,BM404,BN404,BO404,BH405,BI405,BJ405,BK405,BL405,BM405,BN405)</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BH404" s="409" t="s">
        <v>1657</v>
      </c>
      <c r="BI404" s="2" t="str">
        <f>D1124</f>
        <v>immigration</v>
      </c>
      <c r="BJ404" s="409" t="s">
        <v>1658</v>
      </c>
      <c r="BK404" s="2" t="str">
        <f>H1122</f>
        <v>soft borders</v>
      </c>
      <c r="BL404" s="409" t="s">
        <v>1659</v>
      </c>
      <c r="BM404" s="2" t="str">
        <f>X1122</f>
        <v>alienation</v>
      </c>
      <c r="BN404" s="409" t="s">
        <v>1378</v>
      </c>
      <c r="BO404" s="2" t="str">
        <f>Z1122</f>
        <v>loneliness</v>
      </c>
    </row>
    <row r="405" spans="1:67" ht="19.05" customHeight="1">
      <c r="A405" s="199"/>
      <c r="B405" s="1277"/>
      <c r="C405" s="1277"/>
      <c r="D405" s="1277"/>
      <c r="E405" s="1277"/>
      <c r="F405" s="1277"/>
      <c r="G405" s="1277"/>
      <c r="H405" s="1277"/>
      <c r="I405" s="1277"/>
      <c r="J405" s="1277"/>
      <c r="K405" s="1277"/>
      <c r="L405" s="1277"/>
      <c r="M405" s="1277"/>
      <c r="N405" s="200"/>
      <c r="O405" s="199"/>
      <c r="P405" s="24"/>
      <c r="Q405" s="24"/>
      <c r="R405" s="398"/>
      <c r="S405" s="398"/>
      <c r="T405" s="398"/>
      <c r="U405" s="398"/>
      <c r="V405" s="398"/>
      <c r="W405" s="398"/>
      <c r="X405" s="398"/>
      <c r="Y405" s="398"/>
      <c r="Z405" s="398"/>
      <c r="AA405" s="398"/>
      <c r="AB405" s="200"/>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BH405" s="409" t="s">
        <v>1660</v>
      </c>
      <c r="BI405" s="2" t="str">
        <f>BG1122</f>
        <v>full inclusion</v>
      </c>
      <c r="BJ405" s="409" t="s">
        <v>1378</v>
      </c>
      <c r="BK405" s="2" t="str">
        <f>BI1122</f>
        <v>self-determination</v>
      </c>
      <c r="BL405" s="409" t="s">
        <v>1661</v>
      </c>
      <c r="BM405" s="2" t="str">
        <f>BI404</f>
        <v>immigration</v>
      </c>
      <c r="BN405" s="465" t="s">
        <v>1662</v>
      </c>
    </row>
    <row r="406" spans="1:67" ht="19.05" customHeight="1">
      <c r="A406" s="199"/>
      <c r="B406" s="1277"/>
      <c r="C406" s="1277"/>
      <c r="D406" s="1277"/>
      <c r="E406" s="1277"/>
      <c r="F406" s="1277"/>
      <c r="G406" s="1277"/>
      <c r="H406" s="1277"/>
      <c r="I406" s="1277"/>
      <c r="J406" s="1277"/>
      <c r="K406" s="1277"/>
      <c r="L406" s="1277"/>
      <c r="M406" s="1277"/>
      <c r="N406" s="200"/>
      <c r="O406" s="199"/>
      <c r="P406" s="24"/>
      <c r="Q406" s="24"/>
      <c r="R406" s="398"/>
      <c r="S406" s="398"/>
      <c r="T406" s="398"/>
      <c r="U406" s="398"/>
      <c r="V406" s="398"/>
      <c r="W406" s="398"/>
      <c r="X406" s="398"/>
      <c r="Y406" s="398"/>
      <c r="Z406" s="398"/>
      <c r="AA406" s="398"/>
      <c r="AB406" s="200"/>
      <c r="AC406" s="1"/>
      <c r="AD406" s="1"/>
      <c r="AE406" s="1"/>
      <c r="AF406" s="1"/>
      <c r="AG406" s="1"/>
      <c r="AH406" s="1"/>
      <c r="AI406" s="1"/>
      <c r="AJ406" s="1"/>
      <c r="AK406" s="1"/>
      <c r="AL406" s="1"/>
      <c r="AM406" s="1"/>
      <c r="AN406" s="1"/>
      <c r="AO406" s="1"/>
      <c r="AP406" s="1"/>
      <c r="AQ406" s="1"/>
      <c r="AR406" s="1"/>
      <c r="AS406" s="1"/>
      <c r="AT406" s="1"/>
      <c r="AU406" s="1"/>
      <c r="AV406" s="1"/>
      <c r="AW406" s="1"/>
      <c r="AX406" s="1"/>
      <c r="AY406" s="1"/>
    </row>
    <row r="407" spans="1:67" ht="19.05" customHeight="1">
      <c r="A407" s="199"/>
      <c r="B407" s="1277"/>
      <c r="C407" s="1277"/>
      <c r="D407" s="1277"/>
      <c r="E407" s="1277"/>
      <c r="F407" s="1277"/>
      <c r="G407" s="1277"/>
      <c r="H407" s="1277"/>
      <c r="I407" s="1277"/>
      <c r="J407" s="1277"/>
      <c r="K407" s="1277"/>
      <c r="L407" s="1277"/>
      <c r="M407" s="1277"/>
      <c r="N407" s="200"/>
      <c r="O407" s="199"/>
      <c r="P407" s="24"/>
      <c r="Q407" s="24"/>
      <c r="R407" s="398"/>
      <c r="S407" s="398"/>
      <c r="T407" s="398"/>
      <c r="U407" s="398"/>
      <c r="V407" s="398"/>
      <c r="W407" s="398"/>
      <c r="X407" s="398"/>
      <c r="Y407" s="398"/>
      <c r="Z407" s="398"/>
      <c r="AA407" s="398"/>
      <c r="AB407" s="200"/>
      <c r="AC407" s="1"/>
      <c r="AD407" s="1"/>
      <c r="AE407" s="1"/>
      <c r="AF407" s="1"/>
      <c r="AG407" s="1"/>
      <c r="AH407" s="1"/>
      <c r="AI407" s="1"/>
      <c r="AJ407" s="1"/>
      <c r="AK407" s="1"/>
      <c r="AL407" s="1"/>
      <c r="AM407" s="1"/>
      <c r="AN407" s="1"/>
      <c r="AO407" s="1"/>
      <c r="AP407" s="1"/>
      <c r="AQ407" s="1"/>
      <c r="AR407" s="1"/>
      <c r="AS407" s="1"/>
      <c r="AT407" s="1"/>
      <c r="AU407" s="1"/>
      <c r="AV407" s="1"/>
      <c r="AW407" s="1"/>
      <c r="AX407" s="1"/>
      <c r="AY407" s="1"/>
    </row>
    <row r="408" spans="1:67" ht="19.05" customHeight="1">
      <c r="A408" s="199"/>
      <c r="B408" s="1277"/>
      <c r="C408" s="1277"/>
      <c r="D408" s="1277"/>
      <c r="E408" s="1277"/>
      <c r="F408" s="1277"/>
      <c r="G408" s="1277"/>
      <c r="H408" s="1277"/>
      <c r="I408" s="1277"/>
      <c r="J408" s="1277"/>
      <c r="K408" s="1277"/>
      <c r="L408" s="1277"/>
      <c r="M408" s="1277"/>
      <c r="N408" s="200"/>
      <c r="O408" s="199"/>
      <c r="P408" s="24"/>
      <c r="Q408" s="24"/>
      <c r="R408" s="398"/>
      <c r="S408" s="398"/>
      <c r="T408" s="398"/>
      <c r="U408" s="398"/>
      <c r="V408" s="398"/>
      <c r="W408" s="398"/>
      <c r="X408" s="398"/>
      <c r="Y408" s="398"/>
      <c r="Z408" s="398"/>
      <c r="AA408" s="398"/>
      <c r="AB408" s="200"/>
      <c r="AC408" s="1"/>
      <c r="AD408" s="1"/>
      <c r="AE408" s="1"/>
      <c r="AF408" s="1"/>
      <c r="AG408" s="1"/>
      <c r="AH408" s="1"/>
      <c r="AI408" s="1"/>
      <c r="AJ408" s="1"/>
      <c r="AK408" s="1"/>
      <c r="AL408" s="1"/>
      <c r="AM408" s="1"/>
      <c r="AN408" s="1"/>
      <c r="AO408" s="1"/>
      <c r="AP408" s="1"/>
      <c r="AQ408" s="1"/>
      <c r="AR408" s="1"/>
      <c r="AS408" s="1"/>
      <c r="AT408" s="1"/>
      <c r="AU408" s="1"/>
      <c r="AV408" s="1"/>
      <c r="AW408" s="1"/>
      <c r="AX408" s="1"/>
      <c r="AY408" s="1"/>
    </row>
    <row r="409" spans="1:67" ht="19.05" customHeight="1">
      <c r="A409" s="199"/>
      <c r="B409" s="1277"/>
      <c r="C409" s="1277"/>
      <c r="D409" s="1277"/>
      <c r="E409" s="1277"/>
      <c r="F409" s="1277"/>
      <c r="G409" s="1277"/>
      <c r="H409" s="1277"/>
      <c r="I409" s="1277"/>
      <c r="J409" s="1277"/>
      <c r="K409" s="1277"/>
      <c r="L409" s="1277"/>
      <c r="M409" s="1277"/>
      <c r="N409" s="200"/>
      <c r="O409" s="199"/>
      <c r="P409" s="24"/>
      <c r="Q409" s="24"/>
      <c r="R409" s="398"/>
      <c r="S409" s="398"/>
      <c r="T409" s="398"/>
      <c r="U409" s="398"/>
      <c r="V409" s="398"/>
      <c r="W409" s="398"/>
      <c r="X409" s="398"/>
      <c r="Y409" s="398"/>
      <c r="Z409" s="398"/>
      <c r="AA409" s="398"/>
      <c r="AB409" s="200"/>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BF409" s="595" t="str">
        <f>IF(OR($I$1094=0,$I$1096=0,$B$1124=""),BH409,BF411)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BH409" s="465"/>
    </row>
    <row r="410" spans="1:67" ht="4.95" customHeight="1">
      <c r="A410" s="199"/>
      <c r="B410" s="24"/>
      <c r="C410" s="24"/>
      <c r="D410" s="24"/>
      <c r="E410" s="24"/>
      <c r="F410" s="24"/>
      <c r="G410" s="24"/>
      <c r="H410" s="24"/>
      <c r="I410" s="24"/>
      <c r="J410" s="24"/>
      <c r="K410" s="24"/>
      <c r="L410" s="24"/>
      <c r="M410" s="24"/>
      <c r="N410" s="200"/>
      <c r="O410" s="199"/>
      <c r="P410" s="24"/>
      <c r="Q410" s="24"/>
      <c r="R410" s="398"/>
      <c r="S410" s="398"/>
      <c r="T410" s="398"/>
      <c r="U410" s="398"/>
      <c r="V410" s="398"/>
      <c r="W410" s="398"/>
      <c r="X410" s="398"/>
      <c r="Y410" s="398"/>
      <c r="Z410" s="398"/>
      <c r="AA410" s="398"/>
      <c r="AB410" s="200"/>
      <c r="AC410" s="1"/>
      <c r="AD410" s="1"/>
      <c r="AE410" s="1"/>
      <c r="AF410" s="1"/>
      <c r="AG410" s="1"/>
      <c r="AH410" s="1"/>
      <c r="AI410" s="1"/>
      <c r="AJ410" s="1"/>
      <c r="AK410" s="1"/>
      <c r="AL410" s="1"/>
      <c r="AM410" s="1"/>
      <c r="AN410" s="1"/>
      <c r="AO410" s="1"/>
      <c r="AP410" s="1"/>
      <c r="AQ410" s="1"/>
      <c r="AR410" s="1"/>
      <c r="AS410" s="1"/>
      <c r="AT410" s="1"/>
      <c r="AU410" s="1"/>
      <c r="AV410" s="1"/>
      <c r="AW410" s="1"/>
      <c r="AX410" s="1"/>
      <c r="AY410" s="1"/>
    </row>
    <row r="411" spans="1:67" ht="19.95" customHeight="1">
      <c r="A411" s="199"/>
      <c r="B411" s="1277" t="str">
        <f>BF411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C411" s="1277"/>
      <c r="D411" s="1277"/>
      <c r="E411" s="1277"/>
      <c r="F411" s="1277"/>
      <c r="G411" s="1277"/>
      <c r="H411" s="1277"/>
      <c r="I411" s="1277"/>
      <c r="J411" s="1277"/>
      <c r="K411" s="1277"/>
      <c r="L411" s="1277"/>
      <c r="M411" s="1277"/>
      <c r="N411" s="200"/>
      <c r="O411" s="199"/>
      <c r="P411" s="24"/>
      <c r="Q411" s="24"/>
      <c r="R411" s="398"/>
      <c r="S411" s="398"/>
      <c r="T411" s="398"/>
      <c r="U411" s="398"/>
      <c r="V411" s="398"/>
      <c r="W411" s="398"/>
      <c r="X411" s="398"/>
      <c r="Y411" s="398"/>
      <c r="Z411" s="398"/>
      <c r="AA411" s="398"/>
      <c r="AB411" s="200"/>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BF411" s="459" t="str">
        <f>CONCATENATE(BH411,BI411,BJ411,BK411,BL411,BM411,BN411,BO411)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BH411" s="409" t="s">
        <v>1663</v>
      </c>
      <c r="BI411" s="2" t="str">
        <f>IF($D$1124="","political",$D$1124)</f>
        <v>immigration</v>
      </c>
      <c r="BJ411" s="409" t="s">
        <v>1828</v>
      </c>
      <c r="BK411" s="2" t="str">
        <f>IF($D$1124="","this political issue",$D$1124)</f>
        <v>immigration</v>
      </c>
      <c r="BL411" s="465" t="s">
        <v>1664</v>
      </c>
    </row>
    <row r="412" spans="1:67" ht="19.95" customHeight="1">
      <c r="A412" s="199"/>
      <c r="B412" s="1277"/>
      <c r="C412" s="1277"/>
      <c r="D412" s="1277"/>
      <c r="E412" s="1277"/>
      <c r="F412" s="1277"/>
      <c r="G412" s="1277"/>
      <c r="H412" s="1277"/>
      <c r="I412" s="1277"/>
      <c r="J412" s="1277"/>
      <c r="K412" s="1277"/>
      <c r="L412" s="1277"/>
      <c r="M412" s="1277"/>
      <c r="N412" s="200"/>
      <c r="O412" s="199"/>
      <c r="P412" s="24"/>
      <c r="Q412" s="24"/>
      <c r="R412" s="398"/>
      <c r="S412" s="398"/>
      <c r="T412" s="398"/>
      <c r="U412" s="398"/>
      <c r="V412" s="398"/>
      <c r="W412" s="398"/>
      <c r="X412" s="398"/>
      <c r="Y412" s="398"/>
      <c r="Z412" s="398"/>
      <c r="AA412" s="398"/>
      <c r="AB412" s="200"/>
      <c r="AC412" s="1"/>
      <c r="AD412" s="1"/>
      <c r="AE412" s="1"/>
      <c r="AF412" s="1"/>
      <c r="AG412" s="1"/>
      <c r="AH412" s="1"/>
      <c r="AI412" s="1"/>
      <c r="AJ412" s="1"/>
      <c r="AK412" s="1"/>
      <c r="AL412" s="1"/>
      <c r="AM412" s="1"/>
      <c r="AN412" s="1"/>
      <c r="AO412" s="1"/>
      <c r="AP412" s="1"/>
      <c r="AQ412" s="1"/>
      <c r="AR412" s="1"/>
      <c r="AS412" s="1"/>
      <c r="AT412" s="1"/>
      <c r="AU412" s="1"/>
      <c r="AV412" s="1"/>
      <c r="AW412" s="1"/>
      <c r="AX412" s="1"/>
      <c r="AY412" s="1"/>
    </row>
    <row r="413" spans="1:67" ht="19.95" customHeight="1">
      <c r="A413" s="199"/>
      <c r="B413" s="1277"/>
      <c r="C413" s="1277"/>
      <c r="D413" s="1277"/>
      <c r="E413" s="1277"/>
      <c r="F413" s="1277"/>
      <c r="G413" s="1277"/>
      <c r="H413" s="1277"/>
      <c r="I413" s="1277"/>
      <c r="J413" s="1277"/>
      <c r="K413" s="1277"/>
      <c r="L413" s="1277"/>
      <c r="M413" s="1277"/>
      <c r="N413" s="200"/>
      <c r="O413" s="199"/>
      <c r="P413" s="24"/>
      <c r="Q413" s="24"/>
      <c r="R413" s="398"/>
      <c r="S413" s="398"/>
      <c r="T413" s="398"/>
      <c r="U413" s="398"/>
      <c r="V413" s="398"/>
      <c r="W413" s="398"/>
      <c r="X413" s="398"/>
      <c r="Y413" s="398"/>
      <c r="Z413" s="398"/>
      <c r="AA413" s="398"/>
      <c r="AB413" s="200"/>
      <c r="AC413" s="1"/>
      <c r="AD413" s="1"/>
      <c r="AE413" s="1"/>
      <c r="AF413" s="1"/>
      <c r="AG413" s="1"/>
      <c r="AH413" s="1"/>
      <c r="AI413" s="1"/>
      <c r="AJ413" s="1"/>
      <c r="AK413" s="1"/>
      <c r="AL413" s="1"/>
      <c r="AM413" s="1"/>
      <c r="AN413" s="1"/>
      <c r="AO413" s="1"/>
      <c r="AP413" s="1"/>
      <c r="AQ413" s="1"/>
      <c r="AR413" s="1"/>
      <c r="AS413" s="1"/>
      <c r="AT413" s="1"/>
      <c r="AU413" s="1"/>
      <c r="AV413" s="1"/>
      <c r="AW413" s="1"/>
      <c r="AX413" s="1"/>
      <c r="AY413" s="1"/>
    </row>
    <row r="414" spans="1:67" ht="19.95" customHeight="1">
      <c r="A414" s="199"/>
      <c r="B414" s="1277"/>
      <c r="C414" s="1277"/>
      <c r="D414" s="1277"/>
      <c r="E414" s="1277"/>
      <c r="F414" s="1277"/>
      <c r="G414" s="1277"/>
      <c r="H414" s="1277"/>
      <c r="I414" s="1277"/>
      <c r="J414" s="1277"/>
      <c r="K414" s="1277"/>
      <c r="L414" s="1277"/>
      <c r="M414" s="1277"/>
      <c r="N414" s="200"/>
      <c r="O414" s="199"/>
      <c r="P414" s="24"/>
      <c r="Q414" s="24"/>
      <c r="R414" s="398"/>
      <c r="S414" s="398"/>
      <c r="T414" s="398"/>
      <c r="U414" s="398"/>
      <c r="V414" s="398"/>
      <c r="W414" s="398"/>
      <c r="X414" s="398"/>
      <c r="Y414" s="398"/>
      <c r="Z414" s="398"/>
      <c r="AA414" s="398"/>
      <c r="AB414" s="200"/>
      <c r="AC414" s="1"/>
      <c r="AD414" s="1"/>
      <c r="AE414" s="1"/>
      <c r="AF414" s="1"/>
      <c r="AG414" s="1"/>
      <c r="AH414" s="1"/>
      <c r="AI414" s="1"/>
      <c r="AJ414" s="1"/>
      <c r="AK414" s="1"/>
      <c r="AL414" s="1"/>
      <c r="AM414" s="1"/>
      <c r="AN414" s="1"/>
      <c r="AO414" s="1"/>
      <c r="AP414" s="1"/>
      <c r="AQ414" s="1"/>
      <c r="AR414" s="1"/>
      <c r="AS414" s="1"/>
      <c r="AT414" s="1"/>
      <c r="AU414" s="1"/>
      <c r="AV414" s="1"/>
      <c r="AW414" s="1"/>
      <c r="AX414" s="1"/>
      <c r="AY414" s="1"/>
    </row>
    <row r="415" spans="1:67" ht="19.95" customHeight="1">
      <c r="A415" s="199"/>
      <c r="B415" s="1277"/>
      <c r="C415" s="1277"/>
      <c r="D415" s="1277"/>
      <c r="E415" s="1277"/>
      <c r="F415" s="1277"/>
      <c r="G415" s="1277"/>
      <c r="H415" s="1277"/>
      <c r="I415" s="1277"/>
      <c r="J415" s="1277"/>
      <c r="K415" s="1277"/>
      <c r="L415" s="1277"/>
      <c r="M415" s="1277"/>
      <c r="N415" s="200"/>
      <c r="O415" s="199"/>
      <c r="P415" s="24"/>
      <c r="Q415" s="24"/>
      <c r="R415" s="398"/>
      <c r="S415" s="398"/>
      <c r="T415" s="398"/>
      <c r="U415" s="398"/>
      <c r="V415" s="398"/>
      <c r="W415" s="398"/>
      <c r="X415" s="398"/>
      <c r="Y415" s="398"/>
      <c r="Z415" s="398"/>
      <c r="AA415" s="398"/>
      <c r="AB415" s="200"/>
      <c r="AC415" s="1"/>
      <c r="AD415" s="1"/>
      <c r="AE415" s="1"/>
      <c r="AF415" s="1"/>
      <c r="AG415" s="1"/>
      <c r="AH415" s="1"/>
      <c r="AI415" s="1"/>
      <c r="AJ415" s="1"/>
      <c r="AK415" s="1"/>
      <c r="AL415" s="1"/>
      <c r="AM415" s="1"/>
      <c r="AN415" s="1"/>
      <c r="AO415" s="1"/>
      <c r="AP415" s="1"/>
      <c r="AQ415" s="1"/>
      <c r="AR415" s="1"/>
      <c r="AS415" s="1"/>
      <c r="AT415" s="1"/>
      <c r="AU415" s="1"/>
      <c r="AV415" s="1"/>
      <c r="AW415" s="1"/>
      <c r="AX415" s="1"/>
      <c r="AY415" s="1"/>
    </row>
    <row r="416" spans="1:67" ht="19.95" customHeight="1">
      <c r="A416" s="199"/>
      <c r="B416" s="1277"/>
      <c r="C416" s="1277"/>
      <c r="D416" s="1277"/>
      <c r="E416" s="1277"/>
      <c r="F416" s="1277"/>
      <c r="G416" s="1277"/>
      <c r="H416" s="1277"/>
      <c r="I416" s="1277"/>
      <c r="J416" s="1277"/>
      <c r="K416" s="1277"/>
      <c r="L416" s="1277"/>
      <c r="M416" s="1277"/>
      <c r="N416" s="200"/>
      <c r="O416" s="199"/>
      <c r="P416" s="24"/>
      <c r="Q416" s="24"/>
      <c r="R416" s="398"/>
      <c r="S416" s="398"/>
      <c r="T416" s="398"/>
      <c r="U416" s="398"/>
      <c r="V416" s="398"/>
      <c r="W416" s="398"/>
      <c r="X416" s="398"/>
      <c r="Y416" s="398"/>
      <c r="Z416" s="398"/>
      <c r="AA416" s="398"/>
      <c r="AB416" s="200"/>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BF416" s="459" t="str">
        <f>IF(OR($I$1094=0,$B$1124=""),BH416,BF418)</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BH416" s="465" t="s">
        <v>1827</v>
      </c>
    </row>
    <row r="417" spans="1:68" ht="4.95" customHeight="1">
      <c r="A417" s="199"/>
      <c r="B417" s="24"/>
      <c r="C417" s="24"/>
      <c r="D417" s="24"/>
      <c r="E417" s="24"/>
      <c r="F417" s="24"/>
      <c r="G417" s="24"/>
      <c r="H417" s="24"/>
      <c r="I417" s="24"/>
      <c r="J417" s="24"/>
      <c r="K417" s="24"/>
      <c r="L417" s="24"/>
      <c r="M417" s="24"/>
      <c r="N417" s="200"/>
      <c r="O417" s="199"/>
      <c r="P417" s="24"/>
      <c r="Q417" s="24"/>
      <c r="R417" s="398"/>
      <c r="S417" s="398"/>
      <c r="T417" s="398"/>
      <c r="U417" s="398"/>
      <c r="V417" s="398"/>
      <c r="W417" s="398"/>
      <c r="X417" s="398"/>
      <c r="Y417" s="398"/>
      <c r="Z417" s="398"/>
      <c r="AA417" s="398"/>
      <c r="AB417" s="200"/>
      <c r="AC417" s="1"/>
      <c r="AD417" s="1"/>
      <c r="AE417" s="1"/>
      <c r="AF417" s="1"/>
      <c r="AG417" s="1"/>
      <c r="AH417" s="1"/>
      <c r="AI417" s="1"/>
      <c r="AJ417" s="1"/>
      <c r="AK417" s="1"/>
      <c r="AL417" s="1"/>
      <c r="AM417" s="1"/>
      <c r="AN417" s="1"/>
      <c r="AO417" s="1"/>
      <c r="AP417" s="1"/>
      <c r="AQ417" s="1"/>
      <c r="AR417" s="1"/>
      <c r="AS417" s="1"/>
      <c r="AT417" s="1"/>
      <c r="AU417" s="1"/>
      <c r="AV417" s="1"/>
      <c r="AW417" s="1"/>
      <c r="AX417" s="1"/>
      <c r="AY417" s="1"/>
    </row>
    <row r="418" spans="1:68" ht="19.95" customHeight="1">
      <c r="A418" s="199"/>
      <c r="B418" s="1277" t="str">
        <f>BF416</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C418" s="1277"/>
      <c r="D418" s="1277"/>
      <c r="E418" s="1277"/>
      <c r="F418" s="1277"/>
      <c r="G418" s="1277"/>
      <c r="H418" s="1277"/>
      <c r="I418" s="1277"/>
      <c r="J418" s="1277"/>
      <c r="K418" s="1277"/>
      <c r="L418" s="1277"/>
      <c r="M418" s="1277"/>
      <c r="N418" s="200"/>
      <c r="O418" s="199"/>
      <c r="P418" s="24"/>
      <c r="Q418" s="24"/>
      <c r="R418" s="398"/>
      <c r="S418" s="398"/>
      <c r="T418" s="398"/>
      <c r="U418" s="398"/>
      <c r="V418" s="398"/>
      <c r="W418" s="398"/>
      <c r="X418" s="398"/>
      <c r="Y418" s="398"/>
      <c r="Z418" s="398"/>
      <c r="AA418" s="398"/>
      <c r="AB418" s="200"/>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BF418" s="459" t="str">
        <f>CONCATENATE(BH418,BI418,BJ418,BK418,BL418,BM418,BN418,BO418,BP418)</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BH418" s="409" t="s">
        <v>1826</v>
      </c>
      <c r="BI418" s="405" t="str">
        <f>IF(AND($E$1094=$B$1105,E1096=B1112),BI420,IF(AND($E$1094=$B$1112,E1096=B1105),BI420,IF(AND(E1094=B1105,E1096=B1105),BI419,IF(AND(E1094=B1112,E1096=B115),BI419,BI420))))</f>
        <v>disagree</v>
      </c>
      <c r="BJ418" s="409" t="s">
        <v>1665</v>
      </c>
      <c r="BK418" s="2" t="str">
        <f>H1122</f>
        <v>soft borders</v>
      </c>
      <c r="BL418" s="409" t="s">
        <v>1667</v>
      </c>
      <c r="BM418" s="2" t="str">
        <f>D1124</f>
        <v>immigration</v>
      </c>
      <c r="BN418" s="409" t="s">
        <v>1666</v>
      </c>
      <c r="BO418" s="2" t="str">
        <f>BM418</f>
        <v>immigration</v>
      </c>
      <c r="BP418" s="465" t="s">
        <v>1961</v>
      </c>
    </row>
    <row r="419" spans="1:68" ht="19.95" customHeight="1">
      <c r="A419" s="199"/>
      <c r="B419" s="1277"/>
      <c r="C419" s="1277"/>
      <c r="D419" s="1277"/>
      <c r="E419" s="1277"/>
      <c r="F419" s="1277"/>
      <c r="G419" s="1277"/>
      <c r="H419" s="1277"/>
      <c r="I419" s="1277"/>
      <c r="J419" s="1277"/>
      <c r="K419" s="1277"/>
      <c r="L419" s="1277"/>
      <c r="M419" s="1277"/>
      <c r="N419" s="200"/>
      <c r="O419" s="199"/>
      <c r="P419" s="24"/>
      <c r="Q419" s="24"/>
      <c r="R419" s="398"/>
      <c r="S419" s="398"/>
      <c r="T419" s="398"/>
      <c r="U419" s="398"/>
      <c r="V419" s="398"/>
      <c r="W419" s="398"/>
      <c r="X419" s="398"/>
      <c r="Y419" s="398"/>
      <c r="Z419" s="398"/>
      <c r="AA419" s="398"/>
      <c r="AB419" s="200"/>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BI419" s="2" t="s">
        <v>1653</v>
      </c>
    </row>
    <row r="420" spans="1:68" ht="19.95" customHeight="1">
      <c r="A420" s="199"/>
      <c r="B420" s="1277"/>
      <c r="C420" s="1277"/>
      <c r="D420" s="1277"/>
      <c r="E420" s="1277"/>
      <c r="F420" s="1277"/>
      <c r="G420" s="1277"/>
      <c r="H420" s="1277"/>
      <c r="I420" s="1277"/>
      <c r="J420" s="1277"/>
      <c r="K420" s="1277"/>
      <c r="L420" s="1277"/>
      <c r="M420" s="1277"/>
      <c r="N420" s="200"/>
      <c r="O420" s="199"/>
      <c r="P420" s="24"/>
      <c r="Q420" s="24"/>
      <c r="R420" s="398"/>
      <c r="S420" s="398"/>
      <c r="T420" s="398"/>
      <c r="U420" s="398"/>
      <c r="V420" s="398"/>
      <c r="W420" s="398"/>
      <c r="X420" s="398"/>
      <c r="Y420" s="398"/>
      <c r="Z420" s="398"/>
      <c r="AA420" s="398"/>
      <c r="AB420" s="200"/>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BI420" s="2" t="s">
        <v>1654</v>
      </c>
    </row>
    <row r="421" spans="1:68" ht="19.95" customHeight="1">
      <c r="A421" s="199"/>
      <c r="B421" s="1277"/>
      <c r="C421" s="1277"/>
      <c r="D421" s="1277"/>
      <c r="E421" s="1277"/>
      <c r="F421" s="1277"/>
      <c r="G421" s="1277"/>
      <c r="H421" s="1277"/>
      <c r="I421" s="1277"/>
      <c r="J421" s="1277"/>
      <c r="K421" s="1277"/>
      <c r="L421" s="1277"/>
      <c r="M421" s="1277"/>
      <c r="N421" s="200"/>
      <c r="O421" s="199"/>
      <c r="P421" s="24"/>
      <c r="Q421" s="24"/>
      <c r="R421" s="398"/>
      <c r="S421" s="398"/>
      <c r="T421" s="398"/>
      <c r="U421" s="398"/>
      <c r="V421" s="398"/>
      <c r="W421" s="398"/>
      <c r="X421" s="398"/>
      <c r="Y421" s="398"/>
      <c r="Z421" s="398"/>
      <c r="AA421" s="398"/>
      <c r="AB421" s="200"/>
      <c r="AC421" s="1"/>
      <c r="AD421" s="1"/>
      <c r="AE421" s="1"/>
      <c r="AF421" s="1"/>
      <c r="AG421" s="1"/>
      <c r="AH421" s="1"/>
      <c r="AI421" s="1"/>
      <c r="AJ421" s="1"/>
      <c r="AK421" s="1"/>
      <c r="AL421" s="1"/>
      <c r="AM421" s="1"/>
      <c r="AN421" s="1"/>
      <c r="AO421" s="1"/>
      <c r="AP421" s="1"/>
      <c r="AQ421" s="1"/>
      <c r="AR421" s="1"/>
      <c r="AS421" s="1"/>
      <c r="AT421" s="1"/>
      <c r="AU421" s="1"/>
      <c r="AV421" s="1"/>
      <c r="AW421" s="1"/>
      <c r="AX421" s="1"/>
      <c r="AY421" s="1"/>
    </row>
    <row r="422" spans="1:68" ht="19.95" customHeight="1">
      <c r="A422" s="199"/>
      <c r="B422" s="1277"/>
      <c r="C422" s="1277"/>
      <c r="D422" s="1277"/>
      <c r="E422" s="1277"/>
      <c r="F422" s="1277"/>
      <c r="G422" s="1277"/>
      <c r="H422" s="1277"/>
      <c r="I422" s="1277"/>
      <c r="J422" s="1277"/>
      <c r="K422" s="1277"/>
      <c r="L422" s="1277"/>
      <c r="M422" s="1277"/>
      <c r="N422" s="200"/>
      <c r="O422" s="199"/>
      <c r="P422" s="24"/>
      <c r="Q422" s="24"/>
      <c r="R422" s="398"/>
      <c r="S422" s="398"/>
      <c r="T422" s="398"/>
      <c r="U422" s="398"/>
      <c r="V422" s="398"/>
      <c r="W422" s="398"/>
      <c r="X422" s="398"/>
      <c r="Y422" s="398"/>
      <c r="Z422" s="398"/>
      <c r="AA422" s="398"/>
      <c r="AB422" s="200"/>
      <c r="AC422" s="1"/>
      <c r="AD422" s="1"/>
      <c r="AE422" s="1"/>
      <c r="AF422" s="1"/>
      <c r="AG422" s="1"/>
      <c r="AH422" s="1"/>
      <c r="AI422" s="1"/>
      <c r="AJ422" s="1"/>
      <c r="AK422" s="1"/>
      <c r="AL422" s="1"/>
      <c r="AM422" s="1"/>
      <c r="AN422" s="1"/>
      <c r="AO422" s="1"/>
      <c r="AP422" s="1"/>
      <c r="AQ422" s="1"/>
      <c r="AR422" s="1"/>
      <c r="AS422" s="1"/>
      <c r="AT422" s="1"/>
      <c r="AU422" s="1"/>
      <c r="AV422" s="1"/>
      <c r="AW422" s="1"/>
      <c r="AX422" s="1"/>
      <c r="AY422" s="1"/>
    </row>
    <row r="423" spans="1:68" ht="19.95" customHeight="1">
      <c r="A423" s="199"/>
      <c r="B423" s="1277"/>
      <c r="C423" s="1277"/>
      <c r="D423" s="1277"/>
      <c r="E423" s="1277"/>
      <c r="F423" s="1277"/>
      <c r="G423" s="1277"/>
      <c r="H423" s="1277"/>
      <c r="I423" s="1277"/>
      <c r="J423" s="1277"/>
      <c r="K423" s="1277"/>
      <c r="L423" s="1277"/>
      <c r="M423" s="1277"/>
      <c r="N423" s="200"/>
      <c r="O423" s="199"/>
      <c r="P423" s="24"/>
      <c r="Q423" s="24"/>
      <c r="R423" s="398"/>
      <c r="S423" s="398"/>
      <c r="T423" s="398"/>
      <c r="U423" s="398"/>
      <c r="V423" s="398"/>
      <c r="W423" s="398"/>
      <c r="X423" s="398"/>
      <c r="Y423" s="398"/>
      <c r="Z423" s="398"/>
      <c r="AA423" s="398"/>
      <c r="AB423" s="200"/>
      <c r="AC423" s="1"/>
      <c r="AD423" s="1"/>
      <c r="AE423" s="1"/>
      <c r="AF423" s="1"/>
      <c r="AG423" s="1"/>
      <c r="AH423" s="1"/>
      <c r="AI423" s="1"/>
      <c r="AJ423" s="1"/>
      <c r="AK423" s="1"/>
      <c r="AL423" s="1"/>
      <c r="AM423" s="1"/>
      <c r="AN423" s="1"/>
      <c r="AO423" s="1"/>
      <c r="AP423" s="1"/>
      <c r="AQ423" s="1"/>
      <c r="AR423" s="1"/>
      <c r="AS423" s="1"/>
      <c r="AT423" s="1"/>
      <c r="AU423" s="1"/>
      <c r="AV423" s="1"/>
      <c r="AW423" s="1"/>
      <c r="AX423" s="1"/>
      <c r="AY423" s="1"/>
    </row>
    <row r="424" spans="1:68" ht="4.95" customHeight="1">
      <c r="A424" s="199"/>
      <c r="B424" s="24"/>
      <c r="C424" s="24"/>
      <c r="D424" s="24"/>
      <c r="E424" s="24"/>
      <c r="F424" s="24"/>
      <c r="G424" s="24"/>
      <c r="H424" s="24"/>
      <c r="I424" s="24"/>
      <c r="J424" s="24"/>
      <c r="K424" s="24"/>
      <c r="L424" s="24"/>
      <c r="M424" s="24"/>
      <c r="N424" s="200"/>
      <c r="O424" s="199"/>
      <c r="P424" s="24"/>
      <c r="Q424" s="24"/>
      <c r="R424" s="398"/>
      <c r="S424" s="398"/>
      <c r="T424" s="398"/>
      <c r="U424" s="398"/>
      <c r="V424" s="398"/>
      <c r="W424" s="398"/>
      <c r="X424" s="398"/>
      <c r="Y424" s="398"/>
      <c r="Z424" s="398"/>
      <c r="AA424" s="398"/>
      <c r="AB424" s="200"/>
      <c r="AC424" s="1"/>
      <c r="AD424" s="1"/>
      <c r="AE424" s="1"/>
      <c r="AF424" s="1"/>
      <c r="AG424" s="1"/>
      <c r="AH424" s="1"/>
      <c r="AI424" s="1"/>
      <c r="AJ424" s="1"/>
      <c r="AK424" s="1"/>
      <c r="AL424" s="1"/>
      <c r="AM424" s="1"/>
      <c r="AN424" s="1"/>
      <c r="AO424" s="1"/>
      <c r="AP424" s="1"/>
      <c r="AQ424" s="1"/>
      <c r="AR424" s="1"/>
      <c r="AS424" s="1"/>
      <c r="AT424" s="1"/>
      <c r="AU424" s="1"/>
      <c r="AV424" s="1"/>
      <c r="AW424" s="1"/>
      <c r="AX424" s="1"/>
      <c r="AY424" s="1"/>
    </row>
    <row r="425" spans="1:68" ht="30" customHeight="1">
      <c r="A425" s="210" t="s">
        <v>1148</v>
      </c>
      <c r="B425" s="579" t="s">
        <v>1648</v>
      </c>
      <c r="C425" s="582"/>
      <c r="D425" s="582"/>
      <c r="E425" s="375"/>
      <c r="F425" s="374"/>
      <c r="G425" s="373"/>
      <c r="H425" s="373"/>
      <c r="I425" s="373"/>
      <c r="J425" s="373"/>
      <c r="K425" s="373"/>
      <c r="L425" s="373"/>
      <c r="M425" s="373"/>
      <c r="N425" s="211" t="s">
        <v>1149</v>
      </c>
      <c r="O425" s="372"/>
      <c r="P425" s="374"/>
      <c r="Q425" s="373"/>
      <c r="R425" s="373"/>
      <c r="S425" s="373"/>
      <c r="T425" s="373"/>
      <c r="U425" s="373"/>
      <c r="V425" s="373"/>
      <c r="W425" s="373"/>
      <c r="X425" s="373"/>
      <c r="Y425" s="373"/>
      <c r="Z425" s="373"/>
      <c r="AA425" s="373"/>
      <c r="AB425" s="211" t="s">
        <v>1149</v>
      </c>
      <c r="AC425" s="577"/>
      <c r="AD425" s="577"/>
      <c r="AE425" s="577"/>
      <c r="AF425" s="577"/>
      <c r="AG425" s="577"/>
      <c r="AH425" s="577"/>
      <c r="AI425" s="577"/>
      <c r="AJ425" s="577"/>
      <c r="AK425" s="577"/>
      <c r="AL425" s="577"/>
      <c r="AM425" s="577"/>
      <c r="AN425" s="577"/>
      <c r="AO425" s="577"/>
      <c r="AP425" s="577"/>
      <c r="AQ425" s="577"/>
      <c r="AR425" s="577"/>
      <c r="AS425" s="577"/>
      <c r="AT425" s="577"/>
      <c r="AU425" s="577"/>
      <c r="AV425" s="577"/>
      <c r="AW425" s="577"/>
      <c r="AX425" s="577"/>
      <c r="AY425" s="577"/>
    </row>
    <row r="426" spans="1:68" ht="10.050000000000001" customHeight="1">
      <c r="A426" s="199"/>
      <c r="B426" s="24"/>
      <c r="C426" s="24"/>
      <c r="D426" s="24"/>
      <c r="E426" s="24"/>
      <c r="F426" s="24"/>
      <c r="G426" s="24"/>
      <c r="H426" s="24"/>
      <c r="I426" s="24"/>
      <c r="J426" s="24"/>
      <c r="K426" s="24"/>
      <c r="L426" s="24"/>
      <c r="M426" s="24"/>
      <c r="N426" s="200"/>
      <c r="O426" s="199"/>
      <c r="P426" s="24"/>
      <c r="Q426" s="24"/>
      <c r="R426" s="398"/>
      <c r="S426" s="398"/>
      <c r="T426" s="398"/>
      <c r="U426" s="398"/>
      <c r="V426" s="398"/>
      <c r="W426" s="398"/>
      <c r="X426" s="398"/>
      <c r="Y426" s="398"/>
      <c r="Z426" s="398"/>
      <c r="AA426" s="398"/>
      <c r="AB426" s="200"/>
      <c r="AC426" s="1"/>
      <c r="AD426" s="1"/>
      <c r="AE426" s="1"/>
      <c r="AF426" s="1"/>
      <c r="AG426" s="1"/>
      <c r="AH426" s="1"/>
      <c r="AI426" s="1"/>
      <c r="AJ426" s="1"/>
      <c r="AK426" s="1"/>
      <c r="AL426" s="1"/>
      <c r="AM426" s="1"/>
      <c r="AN426" s="1"/>
      <c r="AO426" s="1"/>
      <c r="AP426" s="1"/>
      <c r="AQ426" s="1"/>
      <c r="AR426" s="1"/>
      <c r="AS426" s="1"/>
      <c r="AT426" s="1"/>
      <c r="AU426" s="1"/>
      <c r="AV426" s="1"/>
      <c r="AW426" s="1"/>
      <c r="AX426" s="1"/>
      <c r="AY426" s="1"/>
    </row>
    <row r="427" spans="1:68" ht="19.95" customHeight="1">
      <c r="A427" s="199"/>
      <c r="B427" s="588" t="s">
        <v>1647</v>
      </c>
      <c r="C427" s="24"/>
      <c r="D427" s="24"/>
      <c r="E427" s="24"/>
      <c r="F427" s="24"/>
      <c r="G427" s="24"/>
      <c r="H427" s="24"/>
      <c r="I427" s="24"/>
      <c r="J427" s="24"/>
      <c r="K427" s="24"/>
      <c r="L427" s="24"/>
      <c r="M427" s="24"/>
      <c r="N427" s="200"/>
      <c r="O427" s="199"/>
      <c r="P427" s="24"/>
      <c r="Q427" s="24"/>
      <c r="R427" s="398"/>
      <c r="S427" s="398"/>
      <c r="T427" s="398"/>
      <c r="U427" s="398"/>
      <c r="V427" s="398"/>
      <c r="W427" s="398"/>
      <c r="X427" s="398"/>
      <c r="Y427" s="398"/>
      <c r="Z427" s="398"/>
      <c r="AA427" s="398"/>
      <c r="AB427" s="200"/>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BF427" s="459" t="str">
        <f>IF(OR($I$1094=0,$B$1124=""),BH427,BF429)</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BH427" s="465" t="s">
        <v>1829</v>
      </c>
    </row>
    <row r="428" spans="1:68" ht="10.050000000000001" customHeight="1">
      <c r="A428" s="199"/>
      <c r="B428" s="24"/>
      <c r="C428" s="24"/>
      <c r="D428" s="24"/>
      <c r="E428" s="24"/>
      <c r="F428" s="24"/>
      <c r="G428" s="24"/>
      <c r="H428" s="24"/>
      <c r="I428" s="24"/>
      <c r="J428" s="24"/>
      <c r="K428" s="24"/>
      <c r="L428" s="24"/>
      <c r="M428" s="24"/>
      <c r="N428" s="200"/>
      <c r="O428" s="199"/>
      <c r="P428" s="24"/>
      <c r="Q428" s="24"/>
      <c r="R428" s="398"/>
      <c r="S428" s="398"/>
      <c r="T428" s="398"/>
      <c r="U428" s="398"/>
      <c r="V428" s="398"/>
      <c r="W428" s="398"/>
      <c r="X428" s="398"/>
      <c r="Y428" s="398"/>
      <c r="Z428" s="398"/>
      <c r="AA428" s="398"/>
      <c r="AB428" s="200"/>
      <c r="AC428" s="1"/>
      <c r="AD428" s="1"/>
      <c r="AE428" s="1"/>
      <c r="AF428" s="1"/>
      <c r="AG428" s="1"/>
      <c r="AH428" s="1"/>
      <c r="AI428" s="1"/>
      <c r="AJ428" s="1"/>
      <c r="AK428" s="1"/>
      <c r="AL428" s="1"/>
      <c r="AM428" s="1"/>
      <c r="AN428" s="1"/>
      <c r="AO428" s="1"/>
      <c r="AP428" s="1"/>
      <c r="AQ428" s="1"/>
      <c r="AR428" s="1"/>
      <c r="AS428" s="1"/>
      <c r="AT428" s="1"/>
      <c r="AU428" s="1"/>
      <c r="AV428" s="1"/>
      <c r="AW428" s="1"/>
      <c r="AX428" s="1"/>
      <c r="AY428" s="1"/>
    </row>
    <row r="429" spans="1:68" ht="22.05" customHeight="1">
      <c r="A429" s="199"/>
      <c r="B429" s="1299" t="str">
        <f>BF427</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C429" s="1299"/>
      <c r="D429" s="1299"/>
      <c r="E429" s="1299"/>
      <c r="F429" s="1299"/>
      <c r="G429" s="1299"/>
      <c r="H429" s="1299"/>
      <c r="I429" s="1299"/>
      <c r="J429" s="1299"/>
      <c r="K429" s="1299"/>
      <c r="L429" s="1299"/>
      <c r="M429" s="1299"/>
      <c r="N429" s="200"/>
      <c r="O429" s="199"/>
      <c r="P429" s="24"/>
      <c r="Q429" s="24"/>
      <c r="R429" s="398"/>
      <c r="S429" s="398"/>
      <c r="T429" s="398"/>
      <c r="U429" s="398"/>
      <c r="V429" s="398"/>
      <c r="W429" s="398"/>
      <c r="X429" s="398"/>
      <c r="Y429" s="398"/>
      <c r="Z429" s="398"/>
      <c r="AA429" s="398"/>
      <c r="AB429" s="200"/>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BF429" s="459" t="str">
        <f>CONCATENATE(BH429,BI429,BJ429,BK429,BL429,BM429,BN429,BK430,BL430,BM430,BN430)</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BH429" s="465" t="s">
        <v>1963</v>
      </c>
      <c r="BI429" s="2" t="str">
        <f>R1122</f>
        <v>help all immigrants</v>
      </c>
      <c r="BJ429" s="465" t="s">
        <v>1962</v>
      </c>
      <c r="BK429" s="2" t="str">
        <f>X1122</f>
        <v>alienation</v>
      </c>
      <c r="BL429" s="465" t="s">
        <v>1378</v>
      </c>
      <c r="BM429" s="2" t="str">
        <f>Z1122</f>
        <v>loneliness</v>
      </c>
      <c r="BN429" s="465" t="s">
        <v>1686</v>
      </c>
    </row>
    <row r="430" spans="1:68" ht="22.05" customHeight="1">
      <c r="A430" s="199"/>
      <c r="B430" s="1299"/>
      <c r="C430" s="1299"/>
      <c r="D430" s="1299"/>
      <c r="E430" s="1299"/>
      <c r="F430" s="1299"/>
      <c r="G430" s="1299"/>
      <c r="H430" s="1299"/>
      <c r="I430" s="1299"/>
      <c r="J430" s="1299"/>
      <c r="K430" s="1299"/>
      <c r="L430" s="1299"/>
      <c r="M430" s="1299"/>
      <c r="N430" s="200"/>
      <c r="O430" s="199"/>
      <c r="P430" s="24"/>
      <c r="Q430" s="24"/>
      <c r="R430" s="398"/>
      <c r="S430" s="398"/>
      <c r="T430" s="398"/>
      <c r="U430" s="398"/>
      <c r="V430" s="398"/>
      <c r="W430" s="398"/>
      <c r="X430" s="398"/>
      <c r="Y430" s="398"/>
      <c r="Z430" s="398"/>
      <c r="AA430" s="398"/>
      <c r="AB430" s="200"/>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BK430" s="2" t="str">
        <f>D1124</f>
        <v>immigration</v>
      </c>
      <c r="BL430" s="466" t="s">
        <v>1687</v>
      </c>
      <c r="BM430" s="2" t="str">
        <f>D1124</f>
        <v>immigration</v>
      </c>
      <c r="BN430" s="466" t="s">
        <v>1688</v>
      </c>
    </row>
    <row r="431" spans="1:68" ht="22.05" customHeight="1">
      <c r="A431" s="199"/>
      <c r="B431" s="1299"/>
      <c r="C431" s="1299"/>
      <c r="D431" s="1299"/>
      <c r="E431" s="1299"/>
      <c r="F431" s="1299"/>
      <c r="G431" s="1299"/>
      <c r="H431" s="1299"/>
      <c r="I431" s="1299"/>
      <c r="J431" s="1299"/>
      <c r="K431" s="1299"/>
      <c r="L431" s="1299"/>
      <c r="M431" s="1299"/>
      <c r="N431" s="200"/>
      <c r="O431" s="199"/>
      <c r="P431" s="24"/>
      <c r="Q431" s="24"/>
      <c r="R431" s="398"/>
      <c r="S431" s="398"/>
      <c r="T431" s="398"/>
      <c r="U431" s="398"/>
      <c r="V431" s="398"/>
      <c r="W431" s="398"/>
      <c r="X431" s="398"/>
      <c r="Y431" s="398"/>
      <c r="Z431" s="398"/>
      <c r="AA431" s="398"/>
      <c r="AB431" s="200"/>
      <c r="AC431" s="1"/>
      <c r="AD431" s="1"/>
      <c r="AE431" s="1"/>
      <c r="AF431" s="1"/>
      <c r="AG431" s="1"/>
      <c r="AH431" s="1"/>
      <c r="AI431" s="1"/>
      <c r="AJ431" s="1"/>
      <c r="AK431" s="1"/>
      <c r="AL431" s="1"/>
      <c r="AM431" s="1"/>
      <c r="AN431" s="1"/>
      <c r="AO431" s="1"/>
      <c r="AP431" s="1"/>
      <c r="AQ431" s="1"/>
      <c r="AR431" s="1"/>
      <c r="AS431" s="1"/>
      <c r="AT431" s="1"/>
      <c r="AU431" s="1"/>
      <c r="AV431" s="1"/>
      <c r="AW431" s="1"/>
      <c r="AX431" s="1"/>
      <c r="AY431" s="1"/>
    </row>
    <row r="432" spans="1:68" ht="22.05" customHeight="1">
      <c r="A432" s="199"/>
      <c r="B432" s="1299"/>
      <c r="C432" s="1299"/>
      <c r="D432" s="1299"/>
      <c r="E432" s="1299"/>
      <c r="F432" s="1299"/>
      <c r="G432" s="1299"/>
      <c r="H432" s="1299"/>
      <c r="I432" s="1299"/>
      <c r="J432" s="1299"/>
      <c r="K432" s="1299"/>
      <c r="L432" s="1299"/>
      <c r="M432" s="1299"/>
      <c r="N432" s="200"/>
      <c r="O432" s="199"/>
      <c r="P432" s="24"/>
      <c r="Q432" s="24"/>
      <c r="R432" s="398"/>
      <c r="S432" s="398"/>
      <c r="T432" s="398"/>
      <c r="U432" s="398"/>
      <c r="V432" s="398"/>
      <c r="W432" s="398"/>
      <c r="X432" s="398"/>
      <c r="Y432" s="398"/>
      <c r="Z432" s="398"/>
      <c r="AA432" s="398"/>
      <c r="AB432" s="200"/>
      <c r="AC432" s="1"/>
      <c r="AD432" s="1"/>
      <c r="AE432" s="1"/>
      <c r="AF432" s="1"/>
      <c r="AG432" s="1"/>
      <c r="AH432" s="1"/>
      <c r="AI432" s="1"/>
      <c r="AJ432" s="1"/>
      <c r="AK432" s="1"/>
      <c r="AL432" s="1"/>
      <c r="AM432" s="1"/>
      <c r="AN432" s="1"/>
      <c r="AO432" s="1"/>
      <c r="AP432" s="1"/>
      <c r="AQ432" s="1"/>
      <c r="AR432" s="1"/>
      <c r="AS432" s="1"/>
      <c r="AT432" s="1"/>
      <c r="AU432" s="1"/>
      <c r="AV432" s="1"/>
      <c r="AW432" s="1"/>
      <c r="AX432" s="1"/>
      <c r="AY432" s="1"/>
    </row>
    <row r="433" spans="1:65" ht="22.05" customHeight="1">
      <c r="A433" s="199"/>
      <c r="B433" s="1299"/>
      <c r="C433" s="1299"/>
      <c r="D433" s="1299"/>
      <c r="E433" s="1299"/>
      <c r="F433" s="1299"/>
      <c r="G433" s="1299"/>
      <c r="H433" s="1299"/>
      <c r="I433" s="1299"/>
      <c r="J433" s="1299"/>
      <c r="K433" s="1299"/>
      <c r="L433" s="1299"/>
      <c r="M433" s="1299"/>
      <c r="N433" s="200"/>
      <c r="O433" s="199"/>
      <c r="P433" s="24"/>
      <c r="Q433" s="24"/>
      <c r="R433" s="398"/>
      <c r="S433" s="398"/>
      <c r="T433" s="398"/>
      <c r="U433" s="398"/>
      <c r="V433" s="398"/>
      <c r="W433" s="398"/>
      <c r="X433" s="398"/>
      <c r="Y433" s="398"/>
      <c r="Z433" s="398"/>
      <c r="AA433" s="398"/>
      <c r="AB433" s="200"/>
      <c r="AC433" s="1"/>
      <c r="AD433" s="1"/>
      <c r="AE433" s="1"/>
      <c r="AF433" s="1"/>
      <c r="AG433" s="1"/>
      <c r="AH433" s="1"/>
      <c r="AI433" s="1"/>
      <c r="AJ433" s="1"/>
      <c r="AK433" s="1"/>
      <c r="AL433" s="1"/>
      <c r="AM433" s="1"/>
      <c r="AN433" s="1"/>
      <c r="AO433" s="1"/>
      <c r="AP433" s="1"/>
      <c r="AQ433" s="1"/>
      <c r="AR433" s="1"/>
      <c r="AS433" s="1"/>
      <c r="AT433" s="1"/>
      <c r="AU433" s="1"/>
      <c r="AV433" s="1"/>
      <c r="AW433" s="1"/>
      <c r="AX433" s="1"/>
      <c r="AY433" s="1"/>
    </row>
    <row r="434" spans="1:65" ht="22.05" customHeight="1">
      <c r="A434" s="199"/>
      <c r="B434" s="1299"/>
      <c r="C434" s="1299"/>
      <c r="D434" s="1299"/>
      <c r="E434" s="1299"/>
      <c r="F434" s="1299"/>
      <c r="G434" s="1299"/>
      <c r="H434" s="1299"/>
      <c r="I434" s="1299"/>
      <c r="J434" s="1299"/>
      <c r="K434" s="1299"/>
      <c r="L434" s="1299"/>
      <c r="M434" s="1299"/>
      <c r="N434" s="200"/>
      <c r="O434" s="199"/>
      <c r="P434" s="24"/>
      <c r="Q434" s="24"/>
      <c r="R434" s="398"/>
      <c r="S434" s="398"/>
      <c r="T434" s="398"/>
      <c r="U434" s="398"/>
      <c r="V434" s="398"/>
      <c r="W434" s="398"/>
      <c r="X434" s="398"/>
      <c r="Y434" s="398"/>
      <c r="Z434" s="398"/>
      <c r="AA434" s="398"/>
      <c r="AB434" s="200"/>
      <c r="AC434" s="1"/>
      <c r="AD434" s="1"/>
      <c r="AE434" s="1"/>
      <c r="AF434" s="1"/>
      <c r="AG434" s="1"/>
      <c r="AH434" s="1"/>
      <c r="AI434" s="1"/>
      <c r="AJ434" s="1"/>
      <c r="AK434" s="1"/>
      <c r="AL434" s="1"/>
      <c r="AM434" s="1"/>
      <c r="AN434" s="1"/>
      <c r="AO434" s="1"/>
      <c r="AP434" s="1"/>
      <c r="AQ434" s="1"/>
      <c r="AR434" s="1"/>
      <c r="AS434" s="1"/>
      <c r="AT434" s="1"/>
      <c r="AU434" s="1"/>
      <c r="AV434" s="1"/>
      <c r="AW434" s="1"/>
      <c r="AX434" s="1"/>
      <c r="AY434" s="1"/>
    </row>
    <row r="435" spans="1:65" ht="4.95" customHeight="1">
      <c r="A435" s="199"/>
      <c r="B435" s="468"/>
      <c r="C435" s="468"/>
      <c r="D435" s="468"/>
      <c r="E435" s="468"/>
      <c r="F435" s="468"/>
      <c r="G435" s="468"/>
      <c r="H435" s="468"/>
      <c r="I435" s="468"/>
      <c r="J435" s="468"/>
      <c r="K435" s="468"/>
      <c r="L435" s="468"/>
      <c r="M435" s="468"/>
      <c r="N435" s="200"/>
      <c r="O435" s="199"/>
      <c r="P435" s="24"/>
      <c r="Q435" s="24"/>
      <c r="R435" s="398"/>
      <c r="S435" s="398"/>
      <c r="T435" s="398"/>
      <c r="U435" s="398"/>
      <c r="V435" s="398"/>
      <c r="W435" s="398"/>
      <c r="X435" s="398"/>
      <c r="Y435" s="398"/>
      <c r="Z435" s="398"/>
      <c r="AA435" s="398"/>
      <c r="AB435" s="200"/>
      <c r="AC435" s="1"/>
      <c r="AD435" s="1"/>
      <c r="AE435" s="1"/>
      <c r="AF435" s="1"/>
      <c r="AG435" s="1"/>
      <c r="AH435" s="1"/>
      <c r="AI435" s="1"/>
      <c r="AJ435" s="1"/>
      <c r="AK435" s="1"/>
      <c r="AL435" s="1"/>
      <c r="AM435" s="1"/>
      <c r="AN435" s="1"/>
      <c r="AO435" s="1"/>
      <c r="AP435" s="1"/>
      <c r="AQ435" s="1"/>
      <c r="AR435" s="1"/>
      <c r="AS435" s="1"/>
      <c r="AT435" s="1"/>
      <c r="AU435" s="1"/>
      <c r="AV435" s="1"/>
      <c r="AW435" s="1"/>
      <c r="AX435" s="1"/>
      <c r="AY435" s="1"/>
    </row>
    <row r="436" spans="1:65" ht="18" customHeight="1">
      <c r="A436" s="199"/>
      <c r="B436" s="24"/>
      <c r="C436" s="24"/>
      <c r="D436" s="24"/>
      <c r="E436" s="24"/>
      <c r="F436" s="24"/>
      <c r="G436" s="24"/>
      <c r="H436" s="24"/>
      <c r="I436" s="24"/>
      <c r="J436" s="24"/>
      <c r="K436" s="24"/>
      <c r="L436" s="24"/>
      <c r="M436" s="24"/>
      <c r="N436" s="200"/>
      <c r="O436" s="199"/>
      <c r="P436" s="24"/>
      <c r="Q436" s="24"/>
      <c r="R436" s="398"/>
      <c r="S436" s="398"/>
      <c r="T436" s="398"/>
      <c r="U436" s="398"/>
      <c r="V436" s="398"/>
      <c r="W436" s="398"/>
      <c r="X436" s="398"/>
      <c r="Y436" s="398"/>
      <c r="Z436" s="398"/>
      <c r="AA436" s="398"/>
      <c r="AB436" s="200"/>
      <c r="AC436" s="1"/>
      <c r="AD436" s="1"/>
      <c r="AE436" s="1"/>
      <c r="AF436" s="1"/>
      <c r="AG436" s="1"/>
      <c r="AH436" s="1"/>
      <c r="AI436" s="1"/>
      <c r="AJ436" s="1"/>
      <c r="AK436" s="1"/>
      <c r="AL436" s="1"/>
      <c r="AM436" s="1"/>
      <c r="AN436" s="1"/>
      <c r="AO436" s="1"/>
      <c r="AP436" s="1"/>
      <c r="AQ436" s="1"/>
      <c r="AR436" s="1"/>
      <c r="AS436" s="1"/>
      <c r="AT436" s="1"/>
      <c r="AU436" s="1"/>
      <c r="AV436" s="1"/>
      <c r="AW436" s="1"/>
      <c r="AX436" s="1"/>
      <c r="AY436" s="1"/>
    </row>
    <row r="437" spans="1:65" ht="18" customHeight="1">
      <c r="A437" s="199"/>
      <c r="B437" s="24"/>
      <c r="C437" s="24"/>
      <c r="D437" s="24"/>
      <c r="E437" s="24"/>
      <c r="F437" s="24"/>
      <c r="G437" s="24"/>
      <c r="H437" s="24"/>
      <c r="I437" s="24"/>
      <c r="J437" s="24"/>
      <c r="K437" s="24"/>
      <c r="L437" s="24"/>
      <c r="M437" s="24"/>
      <c r="N437" s="200"/>
      <c r="O437" s="199"/>
      <c r="P437" s="24"/>
      <c r="Q437" s="24"/>
      <c r="R437" s="398"/>
      <c r="S437" s="398"/>
      <c r="T437" s="398"/>
      <c r="U437" s="398"/>
      <c r="V437" s="398"/>
      <c r="W437" s="398"/>
      <c r="X437" s="398"/>
      <c r="Y437" s="398"/>
      <c r="Z437" s="398"/>
      <c r="AA437" s="398"/>
      <c r="AB437" s="200"/>
      <c r="AC437" s="1"/>
      <c r="AD437" s="1"/>
      <c r="AE437" s="1"/>
      <c r="AF437" s="1"/>
      <c r="AG437" s="1"/>
      <c r="AH437" s="1"/>
      <c r="AI437" s="1"/>
      <c r="AJ437" s="1"/>
      <c r="AK437" s="1"/>
      <c r="AL437" s="1"/>
      <c r="AM437" s="1"/>
      <c r="AN437" s="1"/>
      <c r="AO437" s="1"/>
      <c r="AP437" s="1"/>
      <c r="AQ437" s="1"/>
      <c r="AR437" s="1"/>
      <c r="AS437" s="1"/>
      <c r="AT437" s="1"/>
      <c r="AU437" s="1"/>
      <c r="AV437" s="1"/>
      <c r="AW437" s="1"/>
      <c r="AX437" s="1"/>
      <c r="AY437" s="1"/>
    </row>
    <row r="438" spans="1:65" ht="18" customHeight="1">
      <c r="A438" s="199"/>
      <c r="B438" s="24"/>
      <c r="C438" s="24"/>
      <c r="D438" s="24"/>
      <c r="E438" s="24"/>
      <c r="F438" s="24"/>
      <c r="G438" s="24"/>
      <c r="H438" s="24"/>
      <c r="I438" s="24"/>
      <c r="J438" s="24"/>
      <c r="K438" s="24"/>
      <c r="L438" s="24"/>
      <c r="M438" s="24"/>
      <c r="N438" s="200"/>
      <c r="O438" s="199"/>
      <c r="P438" s="24"/>
      <c r="Q438" s="24"/>
      <c r="R438" s="398"/>
      <c r="S438" s="398"/>
      <c r="T438" s="398"/>
      <c r="U438" s="398"/>
      <c r="V438" s="398"/>
      <c r="W438" s="398"/>
      <c r="X438" s="398"/>
      <c r="Y438" s="398"/>
      <c r="Z438" s="398"/>
      <c r="AA438" s="398"/>
      <c r="AB438" s="200"/>
      <c r="AC438" s="1"/>
      <c r="AD438" s="1"/>
      <c r="AE438" s="1"/>
      <c r="AF438" s="1"/>
      <c r="AG438" s="1"/>
      <c r="AH438" s="1"/>
      <c r="AI438" s="1"/>
      <c r="AJ438" s="1"/>
      <c r="AK438" s="1"/>
      <c r="AL438" s="1"/>
      <c r="AM438" s="1"/>
      <c r="AN438" s="1"/>
      <c r="AO438" s="1"/>
      <c r="AP438" s="1"/>
      <c r="AQ438" s="1"/>
      <c r="AR438" s="1"/>
      <c r="AS438" s="1"/>
      <c r="AT438" s="1"/>
      <c r="AU438" s="1"/>
      <c r="AV438" s="1"/>
      <c r="AW438" s="1"/>
      <c r="AX438" s="1"/>
      <c r="AY438" s="1"/>
    </row>
    <row r="439" spans="1:65" ht="18" customHeight="1">
      <c r="A439" s="199"/>
      <c r="B439" s="24"/>
      <c r="C439" s="24"/>
      <c r="D439" s="24"/>
      <c r="E439" s="24"/>
      <c r="F439" s="24"/>
      <c r="G439" s="24"/>
      <c r="H439" s="24"/>
      <c r="I439" s="24"/>
      <c r="J439" s="24"/>
      <c r="K439" s="24"/>
      <c r="L439" s="24"/>
      <c r="M439" s="24"/>
      <c r="N439" s="200"/>
      <c r="O439" s="199"/>
      <c r="P439" s="24"/>
      <c r="Q439" s="24"/>
      <c r="R439" s="398"/>
      <c r="S439" s="398"/>
      <c r="T439" s="398"/>
      <c r="U439" s="398"/>
      <c r="V439" s="398"/>
      <c r="W439" s="398"/>
      <c r="X439" s="398"/>
      <c r="Y439" s="398"/>
      <c r="Z439" s="398"/>
      <c r="AA439" s="398"/>
      <c r="AB439" s="200"/>
      <c r="AC439" s="1"/>
      <c r="AD439" s="1"/>
      <c r="AE439" s="1"/>
      <c r="AF439" s="1"/>
      <c r="AG439" s="1"/>
      <c r="AH439" s="1"/>
      <c r="AI439" s="1"/>
      <c r="AJ439" s="1"/>
      <c r="AK439" s="1"/>
      <c r="AL439" s="1"/>
      <c r="AM439" s="1"/>
      <c r="AN439" s="1"/>
      <c r="AO439" s="1"/>
      <c r="AP439" s="1"/>
      <c r="AQ439" s="1"/>
      <c r="AR439" s="1"/>
      <c r="AS439" s="1"/>
      <c r="AT439" s="1"/>
      <c r="AU439" s="1"/>
      <c r="AV439" s="1"/>
      <c r="AW439" s="1"/>
      <c r="AX439" s="1"/>
      <c r="AY439" s="1"/>
    </row>
    <row r="440" spans="1:65" ht="18" customHeight="1">
      <c r="A440" s="199"/>
      <c r="B440" s="24"/>
      <c r="C440" s="24"/>
      <c r="D440" s="24"/>
      <c r="E440" s="24"/>
      <c r="F440" s="24"/>
      <c r="G440" s="24"/>
      <c r="H440" s="24"/>
      <c r="I440" s="24"/>
      <c r="J440" s="24"/>
      <c r="K440" s="24"/>
      <c r="L440" s="24"/>
      <c r="M440" s="24"/>
      <c r="N440" s="200"/>
      <c r="O440" s="199"/>
      <c r="P440" s="24"/>
      <c r="Q440" s="24"/>
      <c r="R440" s="398"/>
      <c r="S440" s="398"/>
      <c r="T440" s="398"/>
      <c r="U440" s="398"/>
      <c r="V440" s="398"/>
      <c r="W440" s="398"/>
      <c r="X440" s="398"/>
      <c r="Y440" s="398"/>
      <c r="Z440" s="398"/>
      <c r="AA440" s="398"/>
      <c r="AB440" s="200"/>
      <c r="AC440" s="1"/>
      <c r="AD440" s="1"/>
      <c r="AE440" s="1"/>
      <c r="AF440" s="1"/>
      <c r="AG440" s="1"/>
      <c r="AH440" s="1"/>
      <c r="AI440" s="1"/>
      <c r="AJ440" s="1"/>
      <c r="AK440" s="1"/>
      <c r="AL440" s="1"/>
      <c r="AM440" s="1"/>
      <c r="AN440" s="1"/>
      <c r="AO440" s="1"/>
      <c r="AP440" s="1"/>
      <c r="AQ440" s="1"/>
      <c r="AR440" s="1"/>
      <c r="AS440" s="1"/>
      <c r="AT440" s="1"/>
      <c r="AU440" s="1"/>
      <c r="AV440" s="1"/>
      <c r="AW440" s="1"/>
      <c r="AX440" s="1"/>
      <c r="AY440" s="1"/>
    </row>
    <row r="441" spans="1:65" ht="18" customHeight="1">
      <c r="A441" s="199"/>
      <c r="B441" s="24"/>
      <c r="C441" s="24"/>
      <c r="D441" s="24"/>
      <c r="E441" s="24"/>
      <c r="F441" s="24"/>
      <c r="G441" s="24"/>
      <c r="H441" s="24"/>
      <c r="I441" s="24"/>
      <c r="J441" s="24"/>
      <c r="K441" s="24"/>
      <c r="L441" s="24"/>
      <c r="M441" s="24"/>
      <c r="N441" s="200"/>
      <c r="O441" s="199"/>
      <c r="P441" s="24"/>
      <c r="Q441" s="24"/>
      <c r="R441" s="398"/>
      <c r="S441" s="398"/>
      <c r="T441" s="398"/>
      <c r="U441" s="398"/>
      <c r="V441" s="398"/>
      <c r="W441" s="398"/>
      <c r="X441" s="398"/>
      <c r="Y441" s="398"/>
      <c r="Z441" s="398"/>
      <c r="AA441" s="398"/>
      <c r="AB441" s="200"/>
      <c r="AC441" s="1"/>
      <c r="AD441" s="1"/>
      <c r="AE441" s="1"/>
      <c r="AF441" s="1"/>
      <c r="AG441" s="1"/>
      <c r="AH441" s="1"/>
      <c r="AI441" s="1"/>
      <c r="AJ441" s="1"/>
      <c r="AK441" s="1"/>
      <c r="AL441" s="1"/>
      <c r="AM441" s="1"/>
      <c r="AN441" s="1"/>
      <c r="AO441" s="1"/>
      <c r="AP441" s="1"/>
      <c r="AQ441" s="1"/>
      <c r="AR441" s="1"/>
      <c r="AS441" s="1"/>
      <c r="AT441" s="1"/>
      <c r="AU441" s="1"/>
      <c r="AV441" s="1"/>
      <c r="AW441" s="1"/>
      <c r="AX441" s="1"/>
      <c r="AY441" s="1"/>
    </row>
    <row r="442" spans="1:65" ht="18" customHeight="1">
      <c r="A442" s="199"/>
      <c r="B442" s="24"/>
      <c r="C442" s="24"/>
      <c r="D442" s="24"/>
      <c r="E442" s="24"/>
      <c r="F442" s="24"/>
      <c r="G442" s="24"/>
      <c r="H442" s="24"/>
      <c r="I442" s="24"/>
      <c r="J442" s="24"/>
      <c r="K442" s="24"/>
      <c r="L442" s="24"/>
      <c r="M442" s="24"/>
      <c r="N442" s="200"/>
      <c r="O442" s="199"/>
      <c r="P442" s="24"/>
      <c r="Q442" s="24"/>
      <c r="R442" s="398"/>
      <c r="S442" s="398"/>
      <c r="T442" s="398"/>
      <c r="U442" s="398"/>
      <c r="V442" s="398"/>
      <c r="W442" s="398"/>
      <c r="X442" s="398"/>
      <c r="Y442" s="398"/>
      <c r="Z442" s="398"/>
      <c r="AA442" s="398"/>
      <c r="AB442" s="200"/>
      <c r="AC442" s="1"/>
      <c r="AD442" s="1"/>
      <c r="AE442" s="1"/>
      <c r="AF442" s="1"/>
      <c r="AG442" s="1"/>
      <c r="AH442" s="1"/>
      <c r="AI442" s="1"/>
      <c r="AJ442" s="1"/>
      <c r="AK442" s="1"/>
      <c r="AL442" s="1"/>
      <c r="AM442" s="1"/>
      <c r="AN442" s="1"/>
      <c r="AO442" s="1"/>
      <c r="AP442" s="1"/>
      <c r="AQ442" s="1"/>
      <c r="AR442" s="1"/>
      <c r="AS442" s="1"/>
      <c r="AT442" s="1"/>
      <c r="AU442" s="1"/>
      <c r="AV442" s="1"/>
      <c r="AW442" s="1"/>
      <c r="AX442" s="1"/>
      <c r="AY442" s="1"/>
    </row>
    <row r="443" spans="1:65" ht="18" customHeight="1">
      <c r="A443" s="199"/>
      <c r="B443" s="24"/>
      <c r="C443" s="24"/>
      <c r="D443" s="24"/>
      <c r="E443" s="24"/>
      <c r="F443" s="24"/>
      <c r="G443" s="24"/>
      <c r="H443" s="24"/>
      <c r="I443" s="24"/>
      <c r="J443" s="24"/>
      <c r="K443" s="24"/>
      <c r="L443" s="24"/>
      <c r="M443" s="24"/>
      <c r="N443" s="200"/>
      <c r="O443" s="199"/>
      <c r="P443" s="24"/>
      <c r="Q443" s="24"/>
      <c r="R443" s="398"/>
      <c r="S443" s="398"/>
      <c r="T443" s="398"/>
      <c r="U443" s="398"/>
      <c r="V443" s="398"/>
      <c r="W443" s="398"/>
      <c r="X443" s="398"/>
      <c r="Y443" s="398"/>
      <c r="Z443" s="398"/>
      <c r="AA443" s="398"/>
      <c r="AB443" s="200"/>
      <c r="AC443" s="1"/>
      <c r="AD443" s="1"/>
      <c r="AE443" s="1"/>
      <c r="AF443" s="1"/>
      <c r="AG443" s="1"/>
      <c r="AH443" s="1"/>
      <c r="AI443" s="1"/>
      <c r="AJ443" s="1"/>
      <c r="AK443" s="1"/>
      <c r="AL443" s="1"/>
      <c r="AM443" s="1"/>
      <c r="AN443" s="1"/>
      <c r="AO443" s="1"/>
      <c r="AP443" s="1"/>
      <c r="AQ443" s="1"/>
      <c r="AR443" s="1"/>
      <c r="AS443" s="1"/>
      <c r="AT443" s="1"/>
      <c r="AU443" s="1"/>
      <c r="AV443" s="1"/>
      <c r="AW443" s="1"/>
      <c r="AX443" s="1"/>
      <c r="AY443" s="1"/>
    </row>
    <row r="444" spans="1:65" ht="18" customHeight="1">
      <c r="A444" s="199"/>
      <c r="B444" s="24"/>
      <c r="C444" s="24"/>
      <c r="D444" s="24"/>
      <c r="E444" s="24"/>
      <c r="F444" s="24"/>
      <c r="G444" s="24"/>
      <c r="H444" s="24"/>
      <c r="I444" s="24"/>
      <c r="J444" s="24"/>
      <c r="K444" s="24"/>
      <c r="L444" s="24"/>
      <c r="M444" s="24"/>
      <c r="N444" s="200"/>
      <c r="O444" s="199"/>
      <c r="P444" s="24"/>
      <c r="Q444" s="24"/>
      <c r="R444" s="398"/>
      <c r="S444" s="398"/>
      <c r="T444" s="398"/>
      <c r="U444" s="398"/>
      <c r="V444" s="398"/>
      <c r="W444" s="398"/>
      <c r="X444" s="398"/>
      <c r="Y444" s="398"/>
      <c r="Z444" s="398"/>
      <c r="AA444" s="398"/>
      <c r="AB444" s="200"/>
      <c r="AC444" s="1"/>
      <c r="AD444" s="1"/>
      <c r="AE444" s="1"/>
      <c r="AF444" s="1"/>
      <c r="AG444" s="1"/>
      <c r="AH444" s="1"/>
      <c r="AI444" s="1"/>
      <c r="AJ444" s="1"/>
      <c r="AK444" s="1"/>
      <c r="AL444" s="1"/>
      <c r="AM444" s="1"/>
      <c r="AN444" s="1"/>
      <c r="AO444" s="1"/>
      <c r="AP444" s="1"/>
      <c r="AQ444" s="1"/>
      <c r="AR444" s="1"/>
      <c r="AS444" s="1"/>
      <c r="AT444" s="1"/>
      <c r="AU444" s="1"/>
      <c r="AV444" s="1"/>
      <c r="AW444" s="1"/>
      <c r="AX444" s="1"/>
      <c r="AY444" s="1"/>
    </row>
    <row r="445" spans="1:65" ht="16.95" customHeight="1">
      <c r="A445" s="199"/>
      <c r="B445" s="24"/>
      <c r="C445" s="24"/>
      <c r="D445" s="24"/>
      <c r="E445" s="24"/>
      <c r="F445" s="24"/>
      <c r="G445" s="24"/>
      <c r="H445" s="24"/>
      <c r="I445" s="24"/>
      <c r="J445" s="24"/>
      <c r="K445" s="24"/>
      <c r="L445" s="24"/>
      <c r="M445" s="24"/>
      <c r="N445" s="200"/>
      <c r="O445" s="199"/>
      <c r="P445" s="24"/>
      <c r="Q445" s="24"/>
      <c r="R445" s="398"/>
      <c r="S445" s="398"/>
      <c r="T445" s="398"/>
      <c r="U445" s="398"/>
      <c r="V445" s="398"/>
      <c r="W445" s="398"/>
      <c r="X445" s="398"/>
      <c r="Y445" s="398"/>
      <c r="Z445" s="398"/>
      <c r="AA445" s="398"/>
      <c r="AB445" s="200"/>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BF445" s="459" t="str">
        <f>IF(OR($I$1094=0,$I$1096=0,$B$1124=""),BH445,BF447)</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BH445" s="465" t="s">
        <v>1830</v>
      </c>
    </row>
    <row r="446" spans="1:65" ht="4.95" customHeight="1">
      <c r="A446" s="199"/>
      <c r="B446" s="24"/>
      <c r="C446" s="24"/>
      <c r="D446" s="24"/>
      <c r="E446" s="24"/>
      <c r="F446" s="24"/>
      <c r="G446" s="24"/>
      <c r="H446" s="24"/>
      <c r="I446" s="24"/>
      <c r="J446" s="24"/>
      <c r="K446" s="24"/>
      <c r="L446" s="24"/>
      <c r="M446" s="24"/>
      <c r="N446" s="200"/>
      <c r="O446" s="199"/>
      <c r="P446" s="24"/>
      <c r="Q446" s="24"/>
      <c r="R446" s="398"/>
      <c r="S446" s="398"/>
      <c r="T446" s="398"/>
      <c r="U446" s="398"/>
      <c r="V446" s="398"/>
      <c r="W446" s="398"/>
      <c r="X446" s="398"/>
      <c r="Y446" s="398"/>
      <c r="Z446" s="398"/>
      <c r="AA446" s="398"/>
      <c r="AB446" s="200"/>
      <c r="AC446" s="1"/>
      <c r="AD446" s="1"/>
      <c r="AE446" s="1"/>
      <c r="AF446" s="1"/>
      <c r="AG446" s="1"/>
      <c r="AH446" s="1"/>
      <c r="AI446" s="1"/>
      <c r="AJ446" s="1"/>
      <c r="AK446" s="1"/>
      <c r="AL446" s="1"/>
      <c r="AM446" s="1"/>
      <c r="AN446" s="1"/>
      <c r="AO446" s="1"/>
      <c r="AP446" s="1"/>
      <c r="AQ446" s="1"/>
      <c r="AR446" s="1"/>
      <c r="AS446" s="1"/>
      <c r="AT446" s="1"/>
      <c r="AU446" s="1"/>
      <c r="AV446" s="1"/>
      <c r="AW446" s="1"/>
      <c r="AX446" s="1"/>
      <c r="AY446" s="1"/>
    </row>
    <row r="447" spans="1:65" ht="25.05" customHeight="1">
      <c r="A447" s="199"/>
      <c r="B447" s="1277" t="str">
        <f>BF445</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C447" s="1277"/>
      <c r="D447" s="1277"/>
      <c r="E447" s="1277"/>
      <c r="F447" s="1277"/>
      <c r="G447" s="1277"/>
      <c r="H447" s="1277"/>
      <c r="I447" s="1277"/>
      <c r="J447" s="1277"/>
      <c r="K447" s="1277"/>
      <c r="L447" s="1277"/>
      <c r="M447" s="1277"/>
      <c r="N447" s="200"/>
      <c r="O447" s="199"/>
      <c r="P447" s="24"/>
      <c r="Q447" s="24"/>
      <c r="R447" s="398"/>
      <c r="S447" s="398"/>
      <c r="T447" s="398"/>
      <c r="U447" s="398"/>
      <c r="V447" s="398"/>
      <c r="W447" s="398"/>
      <c r="X447" s="398"/>
      <c r="Y447" s="398"/>
      <c r="Z447" s="398"/>
      <c r="AA447" s="398"/>
      <c r="AB447" s="200"/>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BF447" s="459" t="str">
        <f>CONCATENATE(BH447,BI447,BJ447,BK447,BL447,BM447,BH448,BI448,BJ448,BK448,BL448,BM448,BT447)</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BH447" s="409" t="s">
        <v>1964</v>
      </c>
      <c r="BI447" s="2" t="str">
        <f>L1122</f>
        <v>easy entry</v>
      </c>
      <c r="BJ447" s="409" t="s">
        <v>1689</v>
      </c>
      <c r="BK447" s="2" t="str">
        <f>M1122</f>
        <v>vetted entry</v>
      </c>
      <c r="BL447" s="409" t="s">
        <v>1690</v>
      </c>
      <c r="BM447" s="2" t="str">
        <f>D1124</f>
        <v>immigration</v>
      </c>
    </row>
    <row r="448" spans="1:65" ht="25.05" customHeight="1">
      <c r="A448" s="199"/>
      <c r="B448" s="1277"/>
      <c r="C448" s="1277"/>
      <c r="D448" s="1277"/>
      <c r="E448" s="1277"/>
      <c r="F448" s="1277"/>
      <c r="G448" s="1277"/>
      <c r="H448" s="1277"/>
      <c r="I448" s="1277"/>
      <c r="J448" s="1277"/>
      <c r="K448" s="1277"/>
      <c r="L448" s="1277"/>
      <c r="M448" s="1277"/>
      <c r="N448" s="200"/>
      <c r="O448" s="199"/>
      <c r="P448" s="24"/>
      <c r="Q448" s="24"/>
      <c r="R448" s="398"/>
      <c r="S448" s="398"/>
      <c r="T448" s="398"/>
      <c r="U448" s="398"/>
      <c r="V448" s="398"/>
      <c r="W448" s="398"/>
      <c r="X448" s="398"/>
      <c r="Y448" s="398"/>
      <c r="Z448" s="398"/>
      <c r="AA448" s="398"/>
      <c r="AB448" s="200"/>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BH448" s="410" t="s">
        <v>1691</v>
      </c>
      <c r="BI448" s="2" t="str">
        <f>R1122</f>
        <v>help all immigrants</v>
      </c>
      <c r="BJ448" s="409" t="s">
        <v>1958</v>
      </c>
      <c r="BK448" s="2" t="str">
        <f>S1122</f>
        <v>build a wall</v>
      </c>
      <c r="BL448" s="409" t="s">
        <v>1970</v>
      </c>
      <c r="BM448" s="465" t="s">
        <v>1969</v>
      </c>
    </row>
    <row r="449" spans="1:60" ht="25.05" customHeight="1">
      <c r="A449" s="199"/>
      <c r="B449" s="1277"/>
      <c r="C449" s="1277"/>
      <c r="D449" s="1277"/>
      <c r="E449" s="1277"/>
      <c r="F449" s="1277"/>
      <c r="G449" s="1277"/>
      <c r="H449" s="1277"/>
      <c r="I449" s="1277"/>
      <c r="J449" s="1277"/>
      <c r="K449" s="1277"/>
      <c r="L449" s="1277"/>
      <c r="M449" s="1277"/>
      <c r="N449" s="200"/>
      <c r="O449" s="199"/>
      <c r="P449" s="24"/>
      <c r="Q449" s="24"/>
      <c r="R449" s="398"/>
      <c r="S449" s="398"/>
      <c r="T449" s="398"/>
      <c r="U449" s="398"/>
      <c r="V449" s="398"/>
      <c r="W449" s="398"/>
      <c r="X449" s="398"/>
      <c r="Y449" s="398"/>
      <c r="Z449" s="398"/>
      <c r="AA449" s="398"/>
      <c r="AB449" s="200"/>
      <c r="AC449" s="1"/>
      <c r="AD449" s="1"/>
      <c r="AE449" s="1"/>
      <c r="AF449" s="1"/>
      <c r="AG449" s="1"/>
      <c r="AH449" s="1"/>
      <c r="AI449" s="1"/>
      <c r="AJ449" s="1"/>
      <c r="AK449" s="1"/>
      <c r="AL449" s="1"/>
      <c r="AM449" s="1"/>
      <c r="AN449" s="1"/>
      <c r="AO449" s="1"/>
      <c r="AP449" s="1"/>
      <c r="AQ449" s="1"/>
      <c r="AR449" s="1"/>
      <c r="AS449" s="1"/>
      <c r="AT449" s="1"/>
      <c r="AU449" s="1"/>
      <c r="AV449" s="1"/>
      <c r="AW449" s="1"/>
      <c r="AX449" s="1"/>
      <c r="AY449" s="1"/>
    </row>
    <row r="450" spans="1:60" ht="25.05" customHeight="1">
      <c r="A450" s="199"/>
      <c r="B450" s="1277"/>
      <c r="C450" s="1277"/>
      <c r="D450" s="1277"/>
      <c r="E450" s="1277"/>
      <c r="F450" s="1277"/>
      <c r="G450" s="1277"/>
      <c r="H450" s="1277"/>
      <c r="I450" s="1277"/>
      <c r="J450" s="1277"/>
      <c r="K450" s="1277"/>
      <c r="L450" s="1277"/>
      <c r="M450" s="1277"/>
      <c r="N450" s="200"/>
      <c r="O450" s="199"/>
      <c r="P450" s="24"/>
      <c r="Q450" s="24"/>
      <c r="R450" s="398"/>
      <c r="S450" s="398"/>
      <c r="T450" s="398"/>
      <c r="U450" s="398"/>
      <c r="V450" s="398"/>
      <c r="W450" s="398"/>
      <c r="X450" s="398"/>
      <c r="Y450" s="398"/>
      <c r="Z450" s="398"/>
      <c r="AA450" s="398"/>
      <c r="AB450" s="200"/>
      <c r="AC450" s="1"/>
      <c r="AD450" s="1"/>
      <c r="AE450" s="1"/>
      <c r="AF450" s="1"/>
      <c r="AG450" s="1"/>
      <c r="AH450" s="1"/>
      <c r="AI450" s="1"/>
      <c r="AJ450" s="1"/>
      <c r="AK450" s="1"/>
      <c r="AL450" s="1"/>
      <c r="AM450" s="1"/>
      <c r="AN450" s="1"/>
      <c r="AO450" s="1"/>
      <c r="AP450" s="1"/>
      <c r="AQ450" s="1"/>
      <c r="AR450" s="1"/>
      <c r="AS450" s="1"/>
      <c r="AT450" s="1"/>
      <c r="AU450" s="1"/>
      <c r="AV450" s="1"/>
      <c r="AW450" s="1"/>
      <c r="AX450" s="1"/>
      <c r="AY450" s="1"/>
    </row>
    <row r="451" spans="1:60" ht="25.05" customHeight="1">
      <c r="A451" s="199"/>
      <c r="B451" s="1277"/>
      <c r="C451" s="1277"/>
      <c r="D451" s="1277"/>
      <c r="E451" s="1277"/>
      <c r="F451" s="1277"/>
      <c r="G451" s="1277"/>
      <c r="H451" s="1277"/>
      <c r="I451" s="1277"/>
      <c r="J451" s="1277"/>
      <c r="K451" s="1277"/>
      <c r="L451" s="1277"/>
      <c r="M451" s="1277"/>
      <c r="N451" s="200"/>
      <c r="O451" s="199"/>
      <c r="P451" s="24"/>
      <c r="Q451" s="24"/>
      <c r="R451" s="398"/>
      <c r="S451" s="398"/>
      <c r="T451" s="398"/>
      <c r="U451" s="398"/>
      <c r="V451" s="398"/>
      <c r="W451" s="398"/>
      <c r="X451" s="398"/>
      <c r="Y451" s="398"/>
      <c r="Z451" s="398"/>
      <c r="AA451" s="398"/>
      <c r="AB451" s="200"/>
      <c r="AC451" s="1"/>
      <c r="AD451" s="1"/>
      <c r="AE451" s="1"/>
      <c r="AF451" s="1"/>
      <c r="AG451" s="1"/>
      <c r="AH451" s="1"/>
      <c r="AI451" s="1"/>
      <c r="AJ451" s="1"/>
      <c r="AK451" s="1"/>
      <c r="AL451" s="1"/>
      <c r="AM451" s="1"/>
      <c r="AN451" s="1"/>
      <c r="AO451" s="1"/>
      <c r="AP451" s="1"/>
      <c r="AQ451" s="1"/>
      <c r="AR451" s="1"/>
      <c r="AS451" s="1"/>
      <c r="AT451" s="1"/>
      <c r="AU451" s="1"/>
      <c r="AV451" s="1"/>
      <c r="AW451" s="1"/>
      <c r="AX451" s="1"/>
      <c r="AY451" s="1"/>
    </row>
    <row r="452" spans="1:60" ht="25.05" customHeight="1">
      <c r="A452" s="199"/>
      <c r="B452" s="1277"/>
      <c r="C452" s="1277"/>
      <c r="D452" s="1277"/>
      <c r="E452" s="1277"/>
      <c r="F452" s="1277"/>
      <c r="G452" s="1277"/>
      <c r="H452" s="1277"/>
      <c r="I452" s="1277"/>
      <c r="J452" s="1277"/>
      <c r="K452" s="1277"/>
      <c r="L452" s="1277"/>
      <c r="M452" s="1277"/>
      <c r="N452" s="200"/>
      <c r="O452" s="199"/>
      <c r="P452" s="24"/>
      <c r="Q452" s="24"/>
      <c r="R452" s="398"/>
      <c r="S452" s="398"/>
      <c r="T452" s="398"/>
      <c r="U452" s="398"/>
      <c r="V452" s="398"/>
      <c r="W452" s="398"/>
      <c r="X452" s="398"/>
      <c r="Y452" s="398"/>
      <c r="Z452" s="398"/>
      <c r="AA452" s="398"/>
      <c r="AB452" s="200"/>
      <c r="AC452" s="1"/>
      <c r="AD452" s="1"/>
      <c r="AE452" s="1"/>
      <c r="AF452" s="1"/>
      <c r="AG452" s="1"/>
      <c r="AH452" s="1"/>
      <c r="AI452" s="1"/>
      <c r="AJ452" s="1"/>
      <c r="AK452" s="1"/>
      <c r="AL452" s="1"/>
      <c r="AM452" s="1"/>
      <c r="AN452" s="1"/>
      <c r="AO452" s="1"/>
      <c r="AP452" s="1"/>
      <c r="AQ452" s="1"/>
      <c r="AR452" s="1"/>
      <c r="AS452" s="1"/>
      <c r="AT452" s="1"/>
      <c r="AU452" s="1"/>
      <c r="AV452" s="1"/>
      <c r="AW452" s="1"/>
      <c r="AX452" s="1"/>
      <c r="AY452" s="1"/>
    </row>
    <row r="453" spans="1:60" ht="4.95" customHeight="1">
      <c r="A453" s="199"/>
      <c r="B453" s="24"/>
      <c r="C453" s="24"/>
      <c r="D453" s="24"/>
      <c r="E453" s="24"/>
      <c r="F453" s="24"/>
      <c r="G453" s="24"/>
      <c r="H453" s="24"/>
      <c r="I453" s="24"/>
      <c r="J453" s="24"/>
      <c r="K453" s="24"/>
      <c r="L453" s="24"/>
      <c r="M453" s="24"/>
      <c r="N453" s="200"/>
      <c r="O453" s="199"/>
      <c r="P453" s="24"/>
      <c r="Q453" s="24"/>
      <c r="R453" s="398"/>
      <c r="S453" s="398"/>
      <c r="T453" s="398"/>
      <c r="U453" s="398"/>
      <c r="V453" s="398"/>
      <c r="W453" s="398"/>
      <c r="X453" s="398"/>
      <c r="Y453" s="398"/>
      <c r="Z453" s="398"/>
      <c r="AA453" s="398"/>
      <c r="AB453" s="200"/>
      <c r="AC453" s="1"/>
      <c r="AD453" s="1"/>
      <c r="AE453" s="1"/>
      <c r="AF453" s="1"/>
      <c r="AG453" s="1"/>
      <c r="AH453" s="1"/>
      <c r="AI453" s="1"/>
      <c r="AJ453" s="1"/>
      <c r="AK453" s="1"/>
      <c r="AL453" s="1"/>
      <c r="AM453" s="1"/>
      <c r="AN453" s="1"/>
      <c r="AO453" s="1"/>
      <c r="AP453" s="1"/>
      <c r="AQ453" s="1"/>
      <c r="AR453" s="1"/>
      <c r="AS453" s="1"/>
      <c r="AT453" s="1"/>
      <c r="AU453" s="1"/>
      <c r="AV453" s="1"/>
      <c r="AW453" s="1"/>
      <c r="AX453" s="1"/>
      <c r="AY453" s="1"/>
    </row>
    <row r="454" spans="1:60" ht="19.95" customHeight="1">
      <c r="A454" s="199"/>
      <c r="B454" s="1299" t="s">
        <v>1693</v>
      </c>
      <c r="C454" s="1299"/>
      <c r="D454" s="1299"/>
      <c r="E454" s="1299"/>
      <c r="F454" s="1299"/>
      <c r="G454" s="1299"/>
      <c r="H454" s="1299"/>
      <c r="I454" s="1299"/>
      <c r="J454" s="1299"/>
      <c r="K454" s="1299"/>
      <c r="L454" s="1299"/>
      <c r="M454" s="1299"/>
      <c r="N454" s="200"/>
      <c r="O454" s="199"/>
      <c r="P454" s="24"/>
      <c r="Q454" s="24"/>
      <c r="R454" s="398"/>
      <c r="S454" s="398"/>
      <c r="T454" s="398"/>
      <c r="U454" s="398"/>
      <c r="V454" s="398"/>
      <c r="W454" s="398"/>
      <c r="X454" s="398"/>
      <c r="Y454" s="398"/>
      <c r="Z454" s="398"/>
      <c r="AA454" s="398"/>
      <c r="AB454" s="200"/>
      <c r="AC454" s="1"/>
      <c r="AD454" s="1"/>
      <c r="AE454" s="1"/>
      <c r="AF454" s="1"/>
      <c r="AG454" s="1"/>
      <c r="AH454" s="1"/>
      <c r="AI454" s="1"/>
      <c r="AJ454" s="1"/>
      <c r="AK454" s="1"/>
      <c r="AL454" s="1"/>
      <c r="AM454" s="1"/>
      <c r="AN454" s="1"/>
      <c r="AO454" s="1"/>
      <c r="AP454" s="1"/>
      <c r="AQ454" s="1"/>
      <c r="AR454" s="1"/>
      <c r="AS454" s="1"/>
      <c r="AT454" s="1"/>
      <c r="AU454" s="1"/>
      <c r="AV454" s="1"/>
      <c r="AW454" s="1"/>
      <c r="AX454" s="1"/>
      <c r="AY454" s="1"/>
      <c r="BF454" s="459" t="str">
        <f>CONCATENATE(BH454,BI454,BJ454,BK454,BL454,BM454,BN454,BO454)</f>
        <v/>
      </c>
      <c r="BH454" s="409"/>
    </row>
    <row r="455" spans="1:60" ht="19.95" customHeight="1">
      <c r="A455" s="199"/>
      <c r="B455" s="1299"/>
      <c r="C455" s="1299"/>
      <c r="D455" s="1299"/>
      <c r="E455" s="1299"/>
      <c r="F455" s="1299"/>
      <c r="G455" s="1299"/>
      <c r="H455" s="1299"/>
      <c r="I455" s="1299"/>
      <c r="J455" s="1299"/>
      <c r="K455" s="1299"/>
      <c r="L455" s="1299"/>
      <c r="M455" s="1299"/>
      <c r="N455" s="200"/>
      <c r="O455" s="199"/>
      <c r="P455" s="24"/>
      <c r="Q455" s="24"/>
      <c r="R455" s="398"/>
      <c r="S455" s="398"/>
      <c r="T455" s="398"/>
      <c r="U455" s="398"/>
      <c r="V455" s="398"/>
      <c r="W455" s="398"/>
      <c r="X455" s="398"/>
      <c r="Y455" s="398"/>
      <c r="Z455" s="398"/>
      <c r="AA455" s="398"/>
      <c r="AB455" s="200"/>
      <c r="AC455" s="1"/>
      <c r="AD455" s="1"/>
      <c r="AE455" s="1"/>
      <c r="AF455" s="1"/>
      <c r="AG455" s="1"/>
      <c r="AH455" s="1"/>
      <c r="AI455" s="1"/>
      <c r="AJ455" s="1"/>
      <c r="AK455" s="1"/>
      <c r="AL455" s="1"/>
      <c r="AM455" s="1"/>
      <c r="AN455" s="1"/>
      <c r="AO455" s="1"/>
      <c r="AP455" s="1"/>
      <c r="AQ455" s="1"/>
      <c r="AR455" s="1"/>
      <c r="AS455" s="1"/>
      <c r="AT455" s="1"/>
      <c r="AU455" s="1"/>
      <c r="AV455" s="1"/>
      <c r="AW455" s="1"/>
      <c r="AX455" s="1"/>
      <c r="AY455" s="1"/>
    </row>
    <row r="456" spans="1:60" ht="19.95" customHeight="1">
      <c r="A456" s="199"/>
      <c r="B456" s="1299"/>
      <c r="C456" s="1299"/>
      <c r="D456" s="1299"/>
      <c r="E456" s="1299"/>
      <c r="F456" s="1299"/>
      <c r="G456" s="1299"/>
      <c r="H456" s="1299"/>
      <c r="I456" s="1299"/>
      <c r="J456" s="1299"/>
      <c r="K456" s="1299"/>
      <c r="L456" s="1299"/>
      <c r="M456" s="1299"/>
      <c r="N456" s="200"/>
      <c r="O456" s="199"/>
      <c r="P456" s="24"/>
      <c r="Q456" s="24"/>
      <c r="R456" s="398"/>
      <c r="S456" s="398"/>
      <c r="T456" s="398"/>
      <c r="U456" s="398"/>
      <c r="V456" s="398"/>
      <c r="W456" s="398"/>
      <c r="X456" s="398"/>
      <c r="Y456" s="398"/>
      <c r="Z456" s="398"/>
      <c r="AA456" s="398"/>
      <c r="AB456" s="200"/>
      <c r="AC456" s="1"/>
      <c r="AD456" s="1"/>
      <c r="AE456" s="1"/>
      <c r="AF456" s="1"/>
      <c r="AG456" s="1"/>
      <c r="AH456" s="1"/>
      <c r="AI456" s="1"/>
      <c r="AJ456" s="1"/>
      <c r="AK456" s="1"/>
      <c r="AL456" s="1"/>
      <c r="AM456" s="1"/>
      <c r="AN456" s="1"/>
      <c r="AO456" s="1"/>
      <c r="AP456" s="1"/>
      <c r="AQ456" s="1"/>
      <c r="AR456" s="1"/>
      <c r="AS456" s="1"/>
      <c r="AT456" s="1"/>
      <c r="AU456" s="1"/>
      <c r="AV456" s="1"/>
      <c r="AW456" s="1"/>
      <c r="AX456" s="1"/>
      <c r="AY456" s="1"/>
    </row>
    <row r="457" spans="1:60" ht="19.95" customHeight="1">
      <c r="A457" s="199"/>
      <c r="B457" s="1299"/>
      <c r="C457" s="1299"/>
      <c r="D457" s="1299"/>
      <c r="E457" s="1299"/>
      <c r="F457" s="1299"/>
      <c r="G457" s="1299"/>
      <c r="H457" s="1299"/>
      <c r="I457" s="1299"/>
      <c r="J457" s="1299"/>
      <c r="K457" s="1299"/>
      <c r="L457" s="1299"/>
      <c r="M457" s="1299"/>
      <c r="N457" s="200"/>
      <c r="O457" s="199"/>
      <c r="P457" s="24"/>
      <c r="Q457" s="24"/>
      <c r="R457" s="398"/>
      <c r="S457" s="398"/>
      <c r="T457" s="398"/>
      <c r="U457" s="398"/>
      <c r="V457" s="398"/>
      <c r="W457" s="398"/>
      <c r="X457" s="398"/>
      <c r="Y457" s="398"/>
      <c r="Z457" s="398"/>
      <c r="AA457" s="398"/>
      <c r="AB457" s="200"/>
      <c r="AC457" s="1"/>
      <c r="AD457" s="1"/>
      <c r="AE457" s="1"/>
      <c r="AF457" s="1"/>
      <c r="AG457" s="1"/>
      <c r="AH457" s="1"/>
      <c r="AI457" s="1"/>
      <c r="AJ457" s="1"/>
      <c r="AK457" s="1"/>
      <c r="AL457" s="1"/>
      <c r="AM457" s="1"/>
      <c r="AN457" s="1"/>
      <c r="AO457" s="1"/>
      <c r="AP457" s="1"/>
      <c r="AQ457" s="1"/>
      <c r="AR457" s="1"/>
      <c r="AS457" s="1"/>
      <c r="AT457" s="1"/>
      <c r="AU457" s="1"/>
      <c r="AV457" s="1"/>
      <c r="AW457" s="1"/>
      <c r="AX457" s="1"/>
      <c r="AY457" s="1"/>
    </row>
    <row r="458" spans="1:60" ht="19.95" customHeight="1">
      <c r="A458" s="199"/>
      <c r="B458" s="1299"/>
      <c r="C458" s="1299"/>
      <c r="D458" s="1299"/>
      <c r="E458" s="1299"/>
      <c r="F458" s="1299"/>
      <c r="G458" s="1299"/>
      <c r="H458" s="1299"/>
      <c r="I458" s="1299"/>
      <c r="J458" s="1299"/>
      <c r="K458" s="1299"/>
      <c r="L458" s="1299"/>
      <c r="M458" s="1299"/>
      <c r="N458" s="200"/>
      <c r="O458" s="199"/>
      <c r="P458" s="24"/>
      <c r="Q458" s="24"/>
      <c r="R458" s="398"/>
      <c r="S458" s="398"/>
      <c r="T458" s="398"/>
      <c r="U458" s="398"/>
      <c r="V458" s="398"/>
      <c r="W458" s="398"/>
      <c r="X458" s="398"/>
      <c r="Y458" s="398"/>
      <c r="Z458" s="398"/>
      <c r="AA458" s="398"/>
      <c r="AB458" s="200"/>
      <c r="AC458" s="1"/>
      <c r="AD458" s="1"/>
      <c r="AE458" s="1"/>
      <c r="AF458" s="1"/>
      <c r="AG458" s="1"/>
      <c r="AH458" s="1"/>
      <c r="AI458" s="1"/>
      <c r="AJ458" s="1"/>
      <c r="AK458" s="1"/>
      <c r="AL458" s="1"/>
      <c r="AM458" s="1"/>
      <c r="AN458" s="1"/>
      <c r="AO458" s="1"/>
      <c r="AP458" s="1"/>
      <c r="AQ458" s="1"/>
      <c r="AR458" s="1"/>
      <c r="AS458" s="1"/>
      <c r="AT458" s="1"/>
      <c r="AU458" s="1"/>
      <c r="AV458" s="1"/>
      <c r="AW458" s="1"/>
      <c r="AX458" s="1"/>
      <c r="AY458" s="1"/>
    </row>
    <row r="459" spans="1:60" ht="19.95" customHeight="1">
      <c r="A459" s="199"/>
      <c r="B459" s="1299"/>
      <c r="C459" s="1299"/>
      <c r="D459" s="1299"/>
      <c r="E459" s="1299"/>
      <c r="F459" s="1299"/>
      <c r="G459" s="1299"/>
      <c r="H459" s="1299"/>
      <c r="I459" s="1299"/>
      <c r="J459" s="1299"/>
      <c r="K459" s="1299"/>
      <c r="L459" s="1299"/>
      <c r="M459" s="1299"/>
      <c r="N459" s="200"/>
      <c r="O459" s="199"/>
      <c r="P459" s="24"/>
      <c r="Q459" s="24"/>
      <c r="R459" s="398"/>
      <c r="S459" s="398"/>
      <c r="T459" s="398"/>
      <c r="U459" s="398"/>
      <c r="V459" s="398"/>
      <c r="W459" s="398"/>
      <c r="X459" s="398"/>
      <c r="Y459" s="398"/>
      <c r="Z459" s="398"/>
      <c r="AA459" s="398"/>
      <c r="AB459" s="200"/>
      <c r="AC459" s="1"/>
      <c r="AD459" s="1"/>
      <c r="AE459" s="1"/>
      <c r="AF459" s="1"/>
      <c r="AG459" s="1"/>
      <c r="AH459" s="1"/>
      <c r="AI459" s="1"/>
      <c r="AJ459" s="1"/>
      <c r="AK459" s="1"/>
      <c r="AL459" s="1"/>
      <c r="AM459" s="1"/>
      <c r="AN459" s="1"/>
      <c r="AO459" s="1"/>
      <c r="AP459" s="1"/>
      <c r="AQ459" s="1"/>
      <c r="AR459" s="1"/>
      <c r="AS459" s="1"/>
      <c r="AT459" s="1"/>
      <c r="AU459" s="1"/>
      <c r="AV459" s="1"/>
      <c r="AW459" s="1"/>
      <c r="AX459" s="1"/>
      <c r="AY459" s="1"/>
    </row>
    <row r="460" spans="1:60" ht="4.95" customHeight="1">
      <c r="A460" s="199"/>
      <c r="B460" s="24"/>
      <c r="C460" s="24"/>
      <c r="D460" s="24"/>
      <c r="E460" s="24"/>
      <c r="F460" s="24"/>
      <c r="G460" s="24"/>
      <c r="H460" s="24"/>
      <c r="I460" s="24"/>
      <c r="J460" s="24"/>
      <c r="K460" s="24"/>
      <c r="L460" s="24"/>
      <c r="M460" s="24"/>
      <c r="N460" s="200"/>
      <c r="O460" s="199"/>
      <c r="P460" s="24"/>
      <c r="Q460" s="24"/>
      <c r="R460" s="398"/>
      <c r="S460" s="398"/>
      <c r="T460" s="398"/>
      <c r="U460" s="398"/>
      <c r="V460" s="398"/>
      <c r="W460" s="398"/>
      <c r="X460" s="398"/>
      <c r="Y460" s="398"/>
      <c r="Z460" s="398"/>
      <c r="AA460" s="398"/>
      <c r="AB460" s="200"/>
      <c r="AC460" s="1"/>
      <c r="AD460" s="1"/>
      <c r="AE460" s="1"/>
      <c r="AF460" s="1"/>
      <c r="AG460" s="1"/>
      <c r="AH460" s="1"/>
      <c r="AI460" s="1"/>
      <c r="AJ460" s="1"/>
      <c r="AK460" s="1"/>
      <c r="AL460" s="1"/>
      <c r="AM460" s="1"/>
      <c r="AN460" s="1"/>
      <c r="AO460" s="1"/>
      <c r="AP460" s="1"/>
      <c r="AQ460" s="1"/>
      <c r="AR460" s="1"/>
      <c r="AS460" s="1"/>
      <c r="AT460" s="1"/>
      <c r="AU460" s="1"/>
      <c r="AV460" s="1"/>
      <c r="AW460" s="1"/>
      <c r="AX460" s="1"/>
      <c r="AY460" s="1"/>
    </row>
    <row r="461" spans="1:60" ht="30" customHeight="1">
      <c r="A461" s="210" t="s">
        <v>1148</v>
      </c>
      <c r="B461" s="399" t="s">
        <v>1282</v>
      </c>
      <c r="C461" s="582"/>
      <c r="D461" s="582"/>
      <c r="E461" s="583"/>
      <c r="F461" s="584"/>
      <c r="G461" s="582"/>
      <c r="H461" s="582"/>
      <c r="I461" s="582"/>
      <c r="J461" s="582"/>
      <c r="K461" s="582"/>
      <c r="L461" s="373"/>
      <c r="M461" s="373"/>
      <c r="N461" s="211" t="s">
        <v>1149</v>
      </c>
      <c r="O461" s="372"/>
      <c r="P461" s="374"/>
      <c r="Q461" s="373"/>
      <c r="R461" s="373"/>
      <c r="S461" s="373"/>
      <c r="T461" s="373"/>
      <c r="U461" s="373"/>
      <c r="V461" s="373"/>
      <c r="W461" s="373"/>
      <c r="X461" s="373"/>
      <c r="Y461" s="373"/>
      <c r="Z461" s="373"/>
      <c r="AA461" s="373"/>
      <c r="AB461" s="211" t="s">
        <v>1149</v>
      </c>
      <c r="AC461" s="577"/>
      <c r="AD461" s="577"/>
      <c r="AE461" s="577"/>
      <c r="AF461" s="577"/>
      <c r="AG461" s="577"/>
      <c r="AH461" s="577"/>
      <c r="AI461" s="577"/>
      <c r="AJ461" s="577"/>
      <c r="AK461" s="577"/>
      <c r="AL461" s="577"/>
      <c r="AM461" s="577"/>
      <c r="AN461" s="577"/>
      <c r="AO461" s="577"/>
      <c r="AP461" s="577"/>
      <c r="AQ461" s="577"/>
      <c r="AR461" s="577"/>
      <c r="AS461" s="577"/>
      <c r="AT461" s="577"/>
      <c r="AU461" s="577"/>
      <c r="AV461" s="577"/>
      <c r="AW461" s="577"/>
      <c r="AX461" s="577"/>
      <c r="AY461" s="577"/>
    </row>
    <row r="462" spans="1:60" ht="10.050000000000001" customHeight="1">
      <c r="A462" s="199"/>
      <c r="B462" s="24"/>
      <c r="C462" s="24"/>
      <c r="D462" s="24"/>
      <c r="E462" s="24"/>
      <c r="F462" s="24"/>
      <c r="G462" s="24"/>
      <c r="H462" s="24"/>
      <c r="I462" s="24"/>
      <c r="J462" s="24"/>
      <c r="K462" s="24"/>
      <c r="L462" s="24"/>
      <c r="M462" s="24"/>
      <c r="N462" s="200"/>
      <c r="O462" s="199"/>
      <c r="P462" s="24"/>
      <c r="Q462" s="24"/>
      <c r="R462" s="398"/>
      <c r="S462" s="398"/>
      <c r="T462" s="398"/>
      <c r="U462" s="398"/>
      <c r="V462" s="398"/>
      <c r="W462" s="398"/>
      <c r="X462" s="398"/>
      <c r="Y462" s="398"/>
      <c r="Z462" s="398"/>
      <c r="AA462" s="398"/>
      <c r="AB462" s="200"/>
      <c r="AC462" s="1"/>
      <c r="AD462" s="1"/>
      <c r="AE462" s="1"/>
      <c r="AF462" s="1"/>
      <c r="AG462" s="1"/>
      <c r="AH462" s="1"/>
      <c r="AI462" s="1"/>
      <c r="AJ462" s="1"/>
      <c r="AK462" s="1"/>
      <c r="AL462" s="1"/>
      <c r="AM462" s="1"/>
      <c r="AN462" s="1"/>
      <c r="AO462" s="1"/>
      <c r="AP462" s="1"/>
      <c r="AQ462" s="1"/>
      <c r="AR462" s="1"/>
      <c r="AS462" s="1"/>
      <c r="AT462" s="1"/>
      <c r="AU462" s="1"/>
      <c r="AV462" s="1"/>
      <c r="AW462" s="1"/>
      <c r="AX462" s="1"/>
      <c r="AY462" s="1"/>
    </row>
    <row r="463" spans="1:60" ht="19.95" customHeight="1">
      <c r="A463" s="199"/>
      <c r="B463" s="588" t="s">
        <v>1669</v>
      </c>
      <c r="C463" s="24"/>
      <c r="D463" s="24"/>
      <c r="E463" s="24"/>
      <c r="F463" s="24"/>
      <c r="G463" s="24"/>
      <c r="H463" s="24"/>
      <c r="I463" s="24"/>
      <c r="J463" s="24"/>
      <c r="K463" s="24"/>
      <c r="L463" s="24"/>
      <c r="M463" s="24"/>
      <c r="N463" s="200"/>
      <c r="O463" s="199"/>
      <c r="P463" s="24"/>
      <c r="Q463" s="24"/>
      <c r="R463" s="398"/>
      <c r="S463" s="398"/>
      <c r="T463" s="398"/>
      <c r="U463" s="398"/>
      <c r="V463" s="398"/>
      <c r="W463" s="398"/>
      <c r="X463" s="398"/>
      <c r="Y463" s="398"/>
      <c r="Z463" s="398"/>
      <c r="AA463" s="398"/>
      <c r="AB463" s="200"/>
      <c r="AC463" s="1"/>
      <c r="AD463" s="1"/>
      <c r="AE463" s="1"/>
      <c r="AF463" s="1"/>
      <c r="AG463" s="1"/>
      <c r="AH463" s="1"/>
      <c r="AI463" s="1"/>
      <c r="AJ463" s="1"/>
      <c r="AK463" s="1"/>
      <c r="AL463" s="1"/>
      <c r="AM463" s="1"/>
      <c r="AN463" s="1"/>
      <c r="AO463" s="1"/>
      <c r="AP463" s="1"/>
      <c r="AQ463" s="1"/>
      <c r="AR463" s="1"/>
      <c r="AS463" s="1"/>
      <c r="AT463" s="1"/>
      <c r="AU463" s="1"/>
      <c r="AV463" s="1"/>
      <c r="AW463" s="1"/>
      <c r="AX463" s="1"/>
      <c r="AY463" s="1"/>
      <c r="BF463" s="459" t="str">
        <f>CONCATENATE(BH463,BI463,BJ463,BK463,BL463,BM463,BN463,BO463)</f>
        <v/>
      </c>
      <c r="BH463" s="409"/>
    </row>
    <row r="464" spans="1:60" ht="10.050000000000001" customHeight="1">
      <c r="A464" s="199"/>
      <c r="B464" s="24"/>
      <c r="C464" s="24"/>
      <c r="D464" s="24"/>
      <c r="E464" s="24"/>
      <c r="F464" s="24"/>
      <c r="G464" s="24"/>
      <c r="H464" s="24"/>
      <c r="I464" s="24"/>
      <c r="J464" s="24"/>
      <c r="K464" s="24"/>
      <c r="L464" s="24"/>
      <c r="M464" s="24"/>
      <c r="N464" s="200"/>
      <c r="O464" s="199"/>
      <c r="P464" s="24"/>
      <c r="Q464" s="24"/>
      <c r="R464" s="398"/>
      <c r="S464" s="398"/>
      <c r="T464" s="398"/>
      <c r="U464" s="398"/>
      <c r="V464" s="398"/>
      <c r="W464" s="398"/>
      <c r="X464" s="398"/>
      <c r="Y464" s="398"/>
      <c r="Z464" s="398"/>
      <c r="AA464" s="398"/>
      <c r="AB464" s="200"/>
      <c r="AC464" s="1"/>
      <c r="AD464" s="1"/>
      <c r="AE464" s="1"/>
      <c r="AF464" s="1"/>
      <c r="AG464" s="1"/>
      <c r="AH464" s="1"/>
      <c r="AI464" s="1"/>
      <c r="AJ464" s="1"/>
      <c r="AK464" s="1"/>
      <c r="AL464" s="1"/>
      <c r="AM464" s="1"/>
      <c r="AN464" s="1"/>
      <c r="AO464" s="1"/>
      <c r="AP464" s="1"/>
      <c r="AQ464" s="1"/>
      <c r="AR464" s="1"/>
      <c r="AS464" s="1"/>
      <c r="AT464" s="1"/>
      <c r="AU464" s="1"/>
      <c r="AV464" s="1"/>
      <c r="AW464" s="1"/>
      <c r="AX464" s="1"/>
      <c r="AY464" s="1"/>
    </row>
    <row r="465" spans="1:74" ht="19.05" customHeight="1">
      <c r="A465" s="199"/>
      <c r="B465" s="24"/>
      <c r="C465" s="24"/>
      <c r="D465" s="24"/>
      <c r="E465" s="1277" t="s">
        <v>1670</v>
      </c>
      <c r="F465" s="1277"/>
      <c r="G465" s="1277"/>
      <c r="H465" s="1277"/>
      <c r="I465" s="1277"/>
      <c r="J465" s="1277"/>
      <c r="K465" s="1277"/>
      <c r="L465" s="1277"/>
      <c r="M465" s="1277"/>
      <c r="N465" s="200"/>
      <c r="O465" s="199"/>
      <c r="P465" s="24"/>
      <c r="Q465" s="24"/>
      <c r="R465" s="398"/>
      <c r="S465" s="398"/>
      <c r="T465" s="398"/>
      <c r="U465" s="398"/>
      <c r="V465" s="398"/>
      <c r="W465" s="398"/>
      <c r="X465" s="398"/>
      <c r="Y465" s="398"/>
      <c r="Z465" s="398"/>
      <c r="AA465" s="398"/>
      <c r="AB465" s="200"/>
      <c r="AC465" s="1"/>
      <c r="AD465" s="1"/>
      <c r="AE465" s="1"/>
      <c r="AF465" s="1"/>
      <c r="AG465" s="1"/>
      <c r="AH465" s="1"/>
      <c r="AI465" s="1"/>
      <c r="AJ465" s="1"/>
      <c r="AK465" s="1"/>
      <c r="AL465" s="1"/>
      <c r="AM465" s="1"/>
      <c r="AN465" s="1"/>
      <c r="AO465" s="1"/>
      <c r="AP465" s="1"/>
      <c r="AQ465" s="1"/>
      <c r="AR465" s="1"/>
      <c r="AS465" s="1"/>
      <c r="AT465" s="1"/>
      <c r="AU465" s="1"/>
      <c r="AV465" s="1"/>
      <c r="AW465" s="1"/>
      <c r="AX465" s="1"/>
      <c r="AY465" s="1"/>
    </row>
    <row r="466" spans="1:74" ht="19.05" customHeight="1">
      <c r="A466" s="199"/>
      <c r="B466" s="24"/>
      <c r="C466" s="24"/>
      <c r="D466" s="24"/>
      <c r="E466" s="1277"/>
      <c r="F466" s="1277"/>
      <c r="G466" s="1277"/>
      <c r="H466" s="1277"/>
      <c r="I466" s="1277"/>
      <c r="J466" s="1277"/>
      <c r="K466" s="1277"/>
      <c r="L466" s="1277"/>
      <c r="M466" s="1277"/>
      <c r="N466" s="200"/>
      <c r="O466" s="199"/>
      <c r="P466" s="24"/>
      <c r="Q466" s="24"/>
      <c r="R466" s="398"/>
      <c r="S466" s="398"/>
      <c r="T466" s="398"/>
      <c r="U466" s="398"/>
      <c r="V466" s="398"/>
      <c r="W466" s="398"/>
      <c r="X466" s="398"/>
      <c r="Y466" s="398"/>
      <c r="Z466" s="398"/>
      <c r="AA466" s="398"/>
      <c r="AB466" s="200"/>
      <c r="AC466" s="1"/>
      <c r="AD466" s="1"/>
      <c r="AE466" s="1"/>
      <c r="AF466" s="1"/>
      <c r="AG466" s="1"/>
      <c r="AH466" s="1"/>
      <c r="AI466" s="1"/>
      <c r="AJ466" s="1"/>
      <c r="AK466" s="1"/>
      <c r="AL466" s="1"/>
      <c r="AM466" s="1"/>
      <c r="AN466" s="1"/>
      <c r="AO466" s="1"/>
      <c r="AP466" s="1"/>
      <c r="AQ466" s="1"/>
      <c r="AR466" s="1"/>
      <c r="AS466" s="1"/>
      <c r="AT466" s="1"/>
      <c r="AU466" s="1"/>
      <c r="AV466" s="1"/>
      <c r="AW466" s="1"/>
      <c r="AX466" s="1"/>
      <c r="AY466" s="1"/>
    </row>
    <row r="467" spans="1:74" ht="19.05" customHeight="1">
      <c r="A467" s="199"/>
      <c r="B467" s="24"/>
      <c r="C467" s="24"/>
      <c r="D467" s="24"/>
      <c r="E467" s="1277"/>
      <c r="F467" s="1277"/>
      <c r="G467" s="1277"/>
      <c r="H467" s="1277"/>
      <c r="I467" s="1277"/>
      <c r="J467" s="1277"/>
      <c r="K467" s="1277"/>
      <c r="L467" s="1277"/>
      <c r="M467" s="1277"/>
      <c r="N467" s="200"/>
      <c r="O467" s="199"/>
      <c r="P467" s="24"/>
      <c r="Q467" s="24"/>
      <c r="R467" s="398"/>
      <c r="S467" s="398"/>
      <c r="T467" s="398"/>
      <c r="U467" s="398"/>
      <c r="V467" s="398"/>
      <c r="W467" s="398"/>
      <c r="X467" s="398"/>
      <c r="Y467" s="398"/>
      <c r="Z467" s="398"/>
      <c r="AA467" s="398"/>
      <c r="AB467" s="200"/>
      <c r="AC467" s="1"/>
      <c r="AD467" s="1"/>
      <c r="AE467" s="1"/>
      <c r="AF467" s="1"/>
      <c r="AG467" s="1"/>
      <c r="AH467" s="1"/>
      <c r="AI467" s="1"/>
      <c r="AJ467" s="1"/>
      <c r="AK467" s="1"/>
      <c r="AL467" s="1"/>
      <c r="AM467" s="1"/>
      <c r="AN467" s="1"/>
      <c r="AO467" s="1"/>
      <c r="AP467" s="1"/>
      <c r="AQ467" s="1"/>
      <c r="AR467" s="1"/>
      <c r="AS467" s="1"/>
      <c r="AT467" s="1"/>
      <c r="AU467" s="1"/>
      <c r="AV467" s="1"/>
      <c r="AW467" s="1"/>
      <c r="AX467" s="1"/>
      <c r="AY467" s="1"/>
    </row>
    <row r="468" spans="1:74" ht="19.05" customHeight="1">
      <c r="A468" s="199"/>
      <c r="B468" s="24"/>
      <c r="C468" s="24"/>
      <c r="D468" s="24"/>
      <c r="E468" s="1277"/>
      <c r="F468" s="1277"/>
      <c r="G468" s="1277"/>
      <c r="H468" s="1277"/>
      <c r="I468" s="1277"/>
      <c r="J468" s="1277"/>
      <c r="K468" s="1277"/>
      <c r="L468" s="1277"/>
      <c r="M468" s="1277"/>
      <c r="N468" s="200"/>
      <c r="O468" s="199"/>
      <c r="P468" s="24"/>
      <c r="Q468" s="24"/>
      <c r="R468" s="398"/>
      <c r="S468" s="398"/>
      <c r="T468" s="398"/>
      <c r="U468" s="398"/>
      <c r="V468" s="398"/>
      <c r="W468" s="398"/>
      <c r="X468" s="398"/>
      <c r="Y468" s="398"/>
      <c r="Z468" s="398"/>
      <c r="AA468" s="398"/>
      <c r="AB468" s="200"/>
      <c r="AC468" s="1"/>
      <c r="AD468" s="1"/>
      <c r="AE468" s="1"/>
      <c r="AF468" s="1"/>
      <c r="AG468" s="1"/>
      <c r="AH468" s="1"/>
      <c r="AI468" s="1"/>
      <c r="AJ468" s="1"/>
      <c r="AK468" s="1"/>
      <c r="AL468" s="1"/>
      <c r="AM468" s="1"/>
      <c r="AN468" s="1"/>
      <c r="AO468" s="1"/>
      <c r="AP468" s="1"/>
      <c r="AQ468" s="1"/>
      <c r="AR468" s="1"/>
      <c r="AS468" s="1"/>
      <c r="AT468" s="1"/>
      <c r="AU468" s="1"/>
      <c r="AV468" s="1"/>
      <c r="AW468" s="1"/>
      <c r="AX468" s="1"/>
      <c r="AY468" s="1"/>
    </row>
    <row r="469" spans="1:74" ht="19.05" customHeight="1">
      <c r="A469" s="199"/>
      <c r="B469" s="24"/>
      <c r="C469" s="24"/>
      <c r="D469" s="24"/>
      <c r="E469" s="1277"/>
      <c r="F469" s="1277"/>
      <c r="G469" s="1277"/>
      <c r="H469" s="1277"/>
      <c r="I469" s="1277"/>
      <c r="J469" s="1277"/>
      <c r="K469" s="1277"/>
      <c r="L469" s="1277"/>
      <c r="M469" s="1277"/>
      <c r="N469" s="200"/>
      <c r="O469" s="199"/>
      <c r="P469" s="24"/>
      <c r="Q469" s="24"/>
      <c r="R469" s="398"/>
      <c r="S469" s="398"/>
      <c r="T469" s="398"/>
      <c r="U469" s="398"/>
      <c r="V469" s="398"/>
      <c r="W469" s="398"/>
      <c r="X469" s="398"/>
      <c r="Y469" s="398"/>
      <c r="Z469" s="398"/>
      <c r="AA469" s="398"/>
      <c r="AB469" s="200"/>
      <c r="AC469" s="1"/>
      <c r="AD469" s="1"/>
      <c r="AE469" s="1"/>
      <c r="AF469" s="1"/>
      <c r="AG469" s="1"/>
      <c r="AH469" s="1"/>
      <c r="AI469" s="1"/>
      <c r="AJ469" s="1"/>
      <c r="AK469" s="1"/>
      <c r="AL469" s="1"/>
      <c r="AM469" s="1"/>
      <c r="AN469" s="1"/>
      <c r="AO469" s="1"/>
      <c r="AP469" s="1"/>
      <c r="AQ469" s="1"/>
      <c r="AR469" s="1"/>
      <c r="AS469" s="1"/>
      <c r="AT469" s="1"/>
      <c r="AU469" s="1"/>
      <c r="AV469" s="1"/>
      <c r="AW469" s="1"/>
      <c r="AX469" s="1"/>
      <c r="AY469" s="1"/>
    </row>
    <row r="470" spans="1:74" ht="19.95" customHeight="1">
      <c r="A470" s="199"/>
      <c r="B470" s="24"/>
      <c r="C470" s="24"/>
      <c r="D470" s="24"/>
      <c r="E470" s="1277"/>
      <c r="F470" s="1277"/>
      <c r="G470" s="1277"/>
      <c r="H470" s="1277"/>
      <c r="I470" s="1277"/>
      <c r="J470" s="1277"/>
      <c r="K470" s="1277"/>
      <c r="L470" s="1277"/>
      <c r="M470" s="1277"/>
      <c r="N470" s="200"/>
      <c r="O470" s="199"/>
      <c r="P470" s="24"/>
      <c r="Q470" s="24"/>
      <c r="R470" s="398"/>
      <c r="S470" s="398"/>
      <c r="T470" s="398"/>
      <c r="U470" s="398"/>
      <c r="V470" s="398"/>
      <c r="W470" s="398"/>
      <c r="X470" s="398"/>
      <c r="Y470" s="398"/>
      <c r="Z470" s="398"/>
      <c r="AA470" s="398"/>
      <c r="AB470" s="200"/>
      <c r="AC470" s="1"/>
      <c r="AD470" s="1"/>
      <c r="AE470" s="1"/>
      <c r="AF470" s="1"/>
      <c r="AG470" s="1"/>
      <c r="AH470" s="1"/>
      <c r="AI470" s="1"/>
      <c r="AJ470" s="1"/>
      <c r="AK470" s="1"/>
      <c r="AL470" s="1"/>
      <c r="AM470" s="1"/>
      <c r="AN470" s="1"/>
      <c r="AO470" s="1"/>
      <c r="AP470" s="1"/>
      <c r="AQ470" s="1"/>
      <c r="AR470" s="1"/>
      <c r="AS470" s="1"/>
      <c r="AT470" s="1"/>
      <c r="AU470" s="1"/>
      <c r="AV470" s="1"/>
      <c r="AW470" s="1"/>
      <c r="AX470" s="1"/>
      <c r="AY470" s="1"/>
      <c r="BF470" s="595" t="str">
        <f>IF(OR($I$1094=0,$I$1096=0,$B$1124=""),BH470,BF472)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BH470" s="465"/>
    </row>
    <row r="471" spans="1:74" ht="4.95" customHeight="1">
      <c r="A471" s="199"/>
      <c r="B471" s="24"/>
      <c r="C471" s="24"/>
      <c r="D471" s="24"/>
      <c r="E471" s="24"/>
      <c r="F471" s="24"/>
      <c r="G471" s="24"/>
      <c r="H471" s="24"/>
      <c r="I471" s="24"/>
      <c r="J471" s="24"/>
      <c r="K471" s="24"/>
      <c r="L471" s="24"/>
      <c r="M471" s="24"/>
      <c r="N471" s="200"/>
      <c r="O471" s="199"/>
      <c r="P471" s="24"/>
      <c r="Q471" s="24"/>
      <c r="R471" s="398"/>
      <c r="S471" s="398"/>
      <c r="T471" s="398"/>
      <c r="U471" s="398"/>
      <c r="V471" s="398"/>
      <c r="W471" s="398"/>
      <c r="X471" s="398"/>
      <c r="Y471" s="398"/>
      <c r="Z471" s="398"/>
      <c r="AA471" s="398"/>
      <c r="AB471" s="200"/>
      <c r="AC471" s="1"/>
      <c r="AD471" s="1"/>
      <c r="AE471" s="1"/>
      <c r="AF471" s="1"/>
      <c r="AG471" s="1"/>
      <c r="AH471" s="1"/>
      <c r="AI471" s="1"/>
      <c r="AJ471" s="1"/>
      <c r="AK471" s="1"/>
      <c r="AL471" s="1"/>
      <c r="AM471" s="1"/>
      <c r="AN471" s="1"/>
      <c r="AO471" s="1"/>
      <c r="AP471" s="1"/>
      <c r="AQ471" s="1"/>
      <c r="AR471" s="1"/>
      <c r="AS471" s="1"/>
      <c r="AT471" s="1"/>
      <c r="AU471" s="1"/>
      <c r="AV471" s="1"/>
      <c r="AW471" s="1"/>
      <c r="AX471" s="1"/>
      <c r="AY471" s="1"/>
    </row>
    <row r="472" spans="1:74" ht="18" customHeight="1">
      <c r="A472" s="199"/>
      <c r="B472" s="1277" t="str">
        <f>BF472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C472" s="1277"/>
      <c r="D472" s="1277"/>
      <c r="E472" s="1277"/>
      <c r="F472" s="1277"/>
      <c r="G472" s="1277"/>
      <c r="H472" s="1277"/>
      <c r="I472" s="1277"/>
      <c r="J472" s="1277"/>
      <c r="K472" s="1277"/>
      <c r="L472" s="1277"/>
      <c r="M472" s="1277"/>
      <c r="N472" s="200"/>
      <c r="O472" s="199"/>
      <c r="P472" s="24"/>
      <c r="Q472" s="24"/>
      <c r="R472" s="398"/>
      <c r="S472" s="398"/>
      <c r="T472" s="398"/>
      <c r="U472" s="398"/>
      <c r="V472" s="398"/>
      <c r="W472" s="398"/>
      <c r="X472" s="398"/>
      <c r="Y472" s="398"/>
      <c r="Z472" s="398"/>
      <c r="AA472" s="398"/>
      <c r="AB472" s="200"/>
      <c r="AC472" s="1"/>
      <c r="AD472" s="1"/>
      <c r="AE472" s="1"/>
      <c r="AF472" s="1"/>
      <c r="AG472" s="1"/>
      <c r="AH472" s="1"/>
      <c r="AI472" s="1"/>
      <c r="AJ472" s="1"/>
      <c r="AK472" s="1"/>
      <c r="AL472" s="1"/>
      <c r="AM472" s="1"/>
      <c r="AN472" s="1"/>
      <c r="AO472" s="1"/>
      <c r="AP472" s="1"/>
      <c r="AQ472" s="1"/>
      <c r="AR472" s="1"/>
      <c r="AS472" s="1"/>
      <c r="AT472" s="1"/>
      <c r="AU472" s="1"/>
      <c r="AV472" s="1"/>
      <c r="AW472" s="1"/>
      <c r="AX472" s="1"/>
      <c r="AY472" s="1"/>
      <c r="BF472" s="459" t="str">
        <f>CONCATENATE(BH472,BI472,BJ472,BK472,BL472,BM472,BN472,BO472)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BH472" s="409" t="s">
        <v>1671</v>
      </c>
      <c r="BI472" s="2" t="str">
        <f>IF($D$1124="","politicized",$D$1124)</f>
        <v>immigration</v>
      </c>
      <c r="BJ472" s="2" t="str">
        <f>IF($D$1124="",$D$1124,"-related")</f>
        <v>-related</v>
      </c>
      <c r="BK472" s="466" t="s">
        <v>1831</v>
      </c>
    </row>
    <row r="473" spans="1:74" ht="18" customHeight="1">
      <c r="A473" s="199"/>
      <c r="B473" s="1277"/>
      <c r="C473" s="1277"/>
      <c r="D473" s="1277"/>
      <c r="E473" s="1277"/>
      <c r="F473" s="1277"/>
      <c r="G473" s="1277"/>
      <c r="H473" s="1277"/>
      <c r="I473" s="1277"/>
      <c r="J473" s="1277"/>
      <c r="K473" s="1277"/>
      <c r="L473" s="1277"/>
      <c r="M473" s="1277"/>
      <c r="N473" s="200"/>
      <c r="O473" s="199"/>
      <c r="P473" s="24"/>
      <c r="Q473" s="24"/>
      <c r="R473" s="398"/>
      <c r="S473" s="398"/>
      <c r="T473" s="398"/>
      <c r="U473" s="398"/>
      <c r="V473" s="398"/>
      <c r="W473" s="398"/>
      <c r="X473" s="398"/>
      <c r="Y473" s="398"/>
      <c r="Z473" s="398"/>
      <c r="AA473" s="398"/>
      <c r="AB473" s="200"/>
      <c r="AC473" s="1"/>
      <c r="AD473" s="1"/>
      <c r="AE473" s="1"/>
      <c r="AF473" s="1"/>
      <c r="AG473" s="1"/>
      <c r="AH473" s="1"/>
      <c r="AI473" s="1"/>
      <c r="AJ473" s="1"/>
      <c r="AK473" s="1"/>
      <c r="AL473" s="1"/>
      <c r="AM473" s="1"/>
      <c r="AN473" s="1"/>
      <c r="AO473" s="1"/>
      <c r="AP473" s="1"/>
      <c r="AQ473" s="1"/>
      <c r="AR473" s="1"/>
      <c r="AS473" s="1"/>
      <c r="AT473" s="1"/>
      <c r="AU473" s="1"/>
      <c r="AV473" s="1"/>
      <c r="AW473" s="1"/>
      <c r="AX473" s="1"/>
      <c r="AY473" s="1"/>
    </row>
    <row r="474" spans="1:74" ht="18" customHeight="1">
      <c r="A474" s="199"/>
      <c r="B474" s="1277"/>
      <c r="C474" s="1277"/>
      <c r="D474" s="1277"/>
      <c r="E474" s="1277"/>
      <c r="F474" s="1277"/>
      <c r="G474" s="1277"/>
      <c r="H474" s="1277"/>
      <c r="I474" s="1277"/>
      <c r="J474" s="1277"/>
      <c r="K474" s="1277"/>
      <c r="L474" s="1277"/>
      <c r="M474" s="1277"/>
      <c r="N474" s="200"/>
      <c r="O474" s="199"/>
      <c r="P474" s="24"/>
      <c r="Q474" s="24"/>
      <c r="R474" s="398"/>
      <c r="S474" s="398"/>
      <c r="T474" s="398"/>
      <c r="U474" s="398"/>
      <c r="V474" s="398"/>
      <c r="W474" s="398"/>
      <c r="X474" s="398"/>
      <c r="Y474" s="398"/>
      <c r="Z474" s="398"/>
      <c r="AA474" s="398"/>
      <c r="AB474" s="200"/>
      <c r="AC474" s="1"/>
      <c r="AD474" s="1"/>
      <c r="AE474" s="1"/>
      <c r="AF474" s="1"/>
      <c r="AG474" s="1"/>
      <c r="AH474" s="1"/>
      <c r="AI474" s="1"/>
      <c r="AJ474" s="1"/>
      <c r="AK474" s="1"/>
      <c r="AL474" s="1"/>
      <c r="AM474" s="1"/>
      <c r="AN474" s="1"/>
      <c r="AO474" s="1"/>
      <c r="AP474" s="1"/>
      <c r="AQ474" s="1"/>
      <c r="AR474" s="1"/>
      <c r="AS474" s="1"/>
      <c r="AT474" s="1"/>
      <c r="AU474" s="1"/>
      <c r="AV474" s="1"/>
      <c r="AW474" s="1"/>
      <c r="AX474" s="1"/>
      <c r="AY474" s="1"/>
    </row>
    <row r="475" spans="1:74" ht="18" customHeight="1">
      <c r="A475" s="199"/>
      <c r="B475" s="1277"/>
      <c r="C475" s="1277"/>
      <c r="D475" s="1277"/>
      <c r="E475" s="1277"/>
      <c r="F475" s="1277"/>
      <c r="G475" s="1277"/>
      <c r="H475" s="1277"/>
      <c r="I475" s="1277"/>
      <c r="J475" s="1277"/>
      <c r="K475" s="1277"/>
      <c r="L475" s="1277"/>
      <c r="M475" s="1277"/>
      <c r="N475" s="200"/>
      <c r="O475" s="199"/>
      <c r="P475" s="24"/>
      <c r="Q475" s="24"/>
      <c r="R475" s="398"/>
      <c r="S475" s="398"/>
      <c r="T475" s="398"/>
      <c r="U475" s="398"/>
      <c r="V475" s="398"/>
      <c r="W475" s="398"/>
      <c r="X475" s="398"/>
      <c r="Y475" s="398"/>
      <c r="Z475" s="398"/>
      <c r="AA475" s="398"/>
      <c r="AB475" s="200"/>
      <c r="AC475" s="1"/>
      <c r="AD475" s="1"/>
      <c r="AE475" s="1"/>
      <c r="AF475" s="1"/>
      <c r="AG475" s="1"/>
      <c r="AH475" s="1"/>
      <c r="AI475" s="1"/>
      <c r="AJ475" s="1"/>
      <c r="AK475" s="1"/>
      <c r="AL475" s="1"/>
      <c r="AM475" s="1"/>
      <c r="AN475" s="1"/>
      <c r="AO475" s="1"/>
      <c r="AP475" s="1"/>
      <c r="AQ475" s="1"/>
      <c r="AR475" s="1"/>
      <c r="AS475" s="1"/>
      <c r="AT475" s="1"/>
      <c r="AU475" s="1"/>
      <c r="AV475" s="1"/>
      <c r="AW475" s="1"/>
      <c r="AX475" s="1"/>
      <c r="AY475" s="1"/>
      <c r="BF475" s="459" t="str">
        <f>IF(OR($I$1094=0,$B$1124=""),BH475,BF477)</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BH475" s="465" t="s">
        <v>1832</v>
      </c>
      <c r="BI475" s="139"/>
      <c r="BJ475" s="139"/>
      <c r="BK475" s="139"/>
      <c r="BL475" s="139"/>
      <c r="BM475" s="139"/>
      <c r="BN475" s="139"/>
      <c r="BO475" s="139"/>
      <c r="BP475" s="139"/>
      <c r="BQ475" s="139"/>
      <c r="BR475" s="139"/>
      <c r="BS475" s="139"/>
      <c r="BT475" s="139"/>
      <c r="BU475" s="139"/>
      <c r="BV475" s="139"/>
    </row>
    <row r="476" spans="1:74" ht="4.95" customHeight="1">
      <c r="A476" s="199"/>
      <c r="B476" s="24"/>
      <c r="C476" s="24"/>
      <c r="D476" s="24"/>
      <c r="E476" s="24"/>
      <c r="F476" s="24"/>
      <c r="G476" s="24"/>
      <c r="H476" s="24"/>
      <c r="I476" s="24"/>
      <c r="J476" s="24"/>
      <c r="K476" s="24"/>
      <c r="L476" s="24"/>
      <c r="M476" s="24"/>
      <c r="N476" s="200"/>
      <c r="O476" s="199"/>
      <c r="P476" s="24"/>
      <c r="Q476" s="24"/>
      <c r="R476" s="398"/>
      <c r="S476" s="398"/>
      <c r="T476" s="398"/>
      <c r="U476" s="398"/>
      <c r="V476" s="398"/>
      <c r="W476" s="398"/>
      <c r="X476" s="398"/>
      <c r="Y476" s="398"/>
      <c r="Z476" s="398"/>
      <c r="AA476" s="398"/>
      <c r="AB476" s="200"/>
      <c r="AC476" s="1"/>
      <c r="AD476" s="1"/>
      <c r="AE476" s="1"/>
      <c r="AF476" s="1"/>
      <c r="AG476" s="1"/>
      <c r="AH476" s="1"/>
      <c r="AI476" s="1"/>
      <c r="AJ476" s="1"/>
      <c r="AK476" s="1"/>
      <c r="AL476" s="1"/>
      <c r="AM476" s="1"/>
      <c r="AN476" s="1"/>
      <c r="AO476" s="1"/>
      <c r="AP476" s="1"/>
      <c r="AQ476" s="1"/>
      <c r="AR476" s="1"/>
      <c r="AS476" s="1"/>
      <c r="AT476" s="1"/>
      <c r="AU476" s="1"/>
      <c r="AV476" s="1"/>
      <c r="AW476" s="1"/>
      <c r="AX476" s="1"/>
      <c r="AY476" s="1"/>
    </row>
    <row r="477" spans="1:74" ht="22.05" customHeight="1">
      <c r="A477" s="199"/>
      <c r="B477" s="1299" t="str">
        <f>BF475</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C477" s="1299"/>
      <c r="D477" s="1299"/>
      <c r="E477" s="1299"/>
      <c r="F477" s="1299"/>
      <c r="G477" s="1299"/>
      <c r="H477" s="1299"/>
      <c r="I477" s="1299"/>
      <c r="J477" s="1299"/>
      <c r="K477" s="1299"/>
      <c r="L477" s="1299"/>
      <c r="M477" s="1299"/>
      <c r="N477" s="200"/>
      <c r="O477" s="199"/>
      <c r="P477" s="24"/>
      <c r="Q477" s="24"/>
      <c r="R477" s="398"/>
      <c r="S477" s="398"/>
      <c r="T477" s="398"/>
      <c r="U477" s="398"/>
      <c r="V477" s="398"/>
      <c r="W477" s="398"/>
      <c r="X477" s="398"/>
      <c r="Y477" s="398"/>
      <c r="Z477" s="398"/>
      <c r="AA477" s="398"/>
      <c r="AB477" s="200"/>
      <c r="AC477" s="1"/>
      <c r="AD477" s="1"/>
      <c r="AE477" s="1"/>
      <c r="AF477" s="1"/>
      <c r="AG477" s="1"/>
      <c r="AH477" s="1"/>
      <c r="AI477" s="1"/>
      <c r="AJ477" s="1"/>
      <c r="AK477" s="1"/>
      <c r="AL477" s="1"/>
      <c r="AM477" s="1"/>
      <c r="AN477" s="1"/>
      <c r="AO477" s="1"/>
      <c r="AP477" s="1"/>
      <c r="AQ477" s="1"/>
      <c r="AR477" s="1"/>
      <c r="AS477" s="1"/>
      <c r="AT477" s="1"/>
      <c r="AU477" s="1"/>
      <c r="AV477" s="1"/>
      <c r="AW477" s="1"/>
      <c r="AX477" s="1"/>
      <c r="AY477" s="1"/>
      <c r="BF477" s="459" t="str">
        <f>CONCATENATE(BH477,BI477,BJ477,BK477,BL477,BM477,BJ478,BK478,BL478,BM478,BN478)</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BH477" s="409" t="s">
        <v>1672</v>
      </c>
      <c r="BI477" s="2" t="str">
        <f>BK1122</f>
        <v>let anyone enter</v>
      </c>
      <c r="BJ477" s="409" t="s">
        <v>1976</v>
      </c>
      <c r="BK477" s="2" t="str">
        <f>BM1122</f>
        <v>affected nativists</v>
      </c>
      <c r="BL477" s="409" t="s">
        <v>1673</v>
      </c>
      <c r="BM477" s="2" t="str">
        <f>BL1122</f>
        <v>keep all out</v>
      </c>
    </row>
    <row r="478" spans="1:74" ht="22.05" customHeight="1">
      <c r="A478" s="199"/>
      <c r="B478" s="1299"/>
      <c r="C478" s="1299"/>
      <c r="D478" s="1299"/>
      <c r="E478" s="1299"/>
      <c r="F478" s="1299"/>
      <c r="G478" s="1299"/>
      <c r="H478" s="1299"/>
      <c r="I478" s="1299"/>
      <c r="J478" s="1299"/>
      <c r="K478" s="1299"/>
      <c r="L478" s="1299"/>
      <c r="M478" s="1299"/>
      <c r="N478" s="200"/>
      <c r="O478" s="199"/>
      <c r="P478" s="24"/>
      <c r="Q478" s="24"/>
      <c r="R478" s="398"/>
      <c r="S478" s="398"/>
      <c r="T478" s="398"/>
      <c r="U478" s="398"/>
      <c r="V478" s="398"/>
      <c r="W478" s="398"/>
      <c r="X478" s="398"/>
      <c r="Y478" s="398"/>
      <c r="Z478" s="398"/>
      <c r="AA478" s="398"/>
      <c r="AB478" s="200"/>
      <c r="AC478" s="1"/>
      <c r="AD478" s="1"/>
      <c r="AE478" s="1"/>
      <c r="AF478" s="1"/>
      <c r="AG478" s="1"/>
      <c r="AH478" s="1"/>
      <c r="AI478" s="1"/>
      <c r="AJ478" s="1"/>
      <c r="AK478" s="1"/>
      <c r="AL478" s="1"/>
      <c r="AM478" s="1"/>
      <c r="AN478" s="1"/>
      <c r="AO478" s="1"/>
      <c r="AP478" s="1"/>
      <c r="AQ478" s="1"/>
      <c r="AR478" s="1"/>
      <c r="AS478" s="1"/>
      <c r="AT478" s="1"/>
      <c r="AU478" s="1"/>
      <c r="AV478" s="1"/>
      <c r="AW478" s="1"/>
      <c r="AX478" s="1"/>
      <c r="AY478" s="1"/>
      <c r="BJ478" s="409" t="s">
        <v>1674</v>
      </c>
      <c r="BK478" s="2" t="str">
        <f>BE1122</f>
        <v>for freedom of movement</v>
      </c>
      <c r="BL478" s="409" t="s">
        <v>1677</v>
      </c>
      <c r="BM478" s="2" t="str">
        <f>BF1122</f>
        <v>for secure borders</v>
      </c>
      <c r="BN478" s="409" t="s">
        <v>706</v>
      </c>
    </row>
    <row r="479" spans="1:74" ht="22.05" customHeight="1">
      <c r="A479" s="199"/>
      <c r="B479" s="1299"/>
      <c r="C479" s="1299"/>
      <c r="D479" s="1299"/>
      <c r="E479" s="1299"/>
      <c r="F479" s="1299"/>
      <c r="G479" s="1299"/>
      <c r="H479" s="1299"/>
      <c r="I479" s="1299"/>
      <c r="J479" s="1299"/>
      <c r="K479" s="1299"/>
      <c r="L479" s="1299"/>
      <c r="M479" s="1299"/>
      <c r="N479" s="200"/>
      <c r="O479" s="199"/>
      <c r="P479" s="24"/>
      <c r="Q479" s="24"/>
      <c r="R479" s="398"/>
      <c r="S479" s="398"/>
      <c r="T479" s="398"/>
      <c r="U479" s="398"/>
      <c r="V479" s="398"/>
      <c r="W479" s="398"/>
      <c r="X479" s="398"/>
      <c r="Y479" s="398"/>
      <c r="Z479" s="398"/>
      <c r="AA479" s="398"/>
      <c r="AB479" s="200"/>
      <c r="AC479" s="1"/>
      <c r="AD479" s="1"/>
      <c r="AE479" s="1"/>
      <c r="AF479" s="1"/>
      <c r="AG479" s="1"/>
      <c r="AH479" s="1"/>
      <c r="AI479" s="1"/>
      <c r="AJ479" s="1"/>
      <c r="AK479" s="1"/>
      <c r="AL479" s="1"/>
      <c r="AM479" s="1"/>
      <c r="AN479" s="1"/>
      <c r="AO479" s="1"/>
      <c r="AP479" s="1"/>
      <c r="AQ479" s="1"/>
      <c r="AR479" s="1"/>
      <c r="AS479" s="1"/>
      <c r="AT479" s="1"/>
      <c r="AU479" s="1"/>
      <c r="AV479" s="1"/>
      <c r="AW479" s="1"/>
      <c r="AX479" s="1"/>
      <c r="AY479" s="1"/>
    </row>
    <row r="480" spans="1:74" ht="22.05" customHeight="1">
      <c r="A480" s="199"/>
      <c r="B480" s="1299"/>
      <c r="C480" s="1299"/>
      <c r="D480" s="1299"/>
      <c r="E480" s="1299"/>
      <c r="F480" s="1299"/>
      <c r="G480" s="1299"/>
      <c r="H480" s="1299"/>
      <c r="I480" s="1299"/>
      <c r="J480" s="1299"/>
      <c r="K480" s="1299"/>
      <c r="L480" s="1299"/>
      <c r="M480" s="1299"/>
      <c r="N480" s="200"/>
      <c r="O480" s="199"/>
      <c r="P480" s="24"/>
      <c r="Q480" s="24"/>
      <c r="R480" s="398"/>
      <c r="S480" s="398"/>
      <c r="T480" s="398"/>
      <c r="U480" s="398"/>
      <c r="V480" s="398"/>
      <c r="W480" s="398"/>
      <c r="X480" s="398"/>
      <c r="Y480" s="398"/>
      <c r="Z480" s="398"/>
      <c r="AA480" s="398"/>
      <c r="AB480" s="200"/>
      <c r="AC480" s="1"/>
      <c r="AD480" s="1"/>
      <c r="AE480" s="1"/>
      <c r="AF480" s="1"/>
      <c r="AG480" s="1"/>
      <c r="AH480" s="1"/>
      <c r="AI480" s="1"/>
      <c r="AJ480" s="1"/>
      <c r="AK480" s="1"/>
      <c r="AL480" s="1"/>
      <c r="AM480" s="1"/>
      <c r="AN480" s="1"/>
      <c r="AO480" s="1"/>
      <c r="AP480" s="1"/>
      <c r="AQ480" s="1"/>
      <c r="AR480" s="1"/>
      <c r="AS480" s="1"/>
      <c r="AT480" s="1"/>
      <c r="AU480" s="1"/>
      <c r="AV480" s="1"/>
      <c r="AW480" s="1"/>
      <c r="AX480" s="1"/>
      <c r="AY480" s="1"/>
    </row>
    <row r="481" spans="1:66" ht="22.05" customHeight="1">
      <c r="A481" s="199"/>
      <c r="B481" s="1299"/>
      <c r="C481" s="1299"/>
      <c r="D481" s="1299"/>
      <c r="E481" s="1299"/>
      <c r="F481" s="1299"/>
      <c r="G481" s="1299"/>
      <c r="H481" s="1299"/>
      <c r="I481" s="1299"/>
      <c r="J481" s="1299"/>
      <c r="K481" s="1299"/>
      <c r="L481" s="1299"/>
      <c r="M481" s="1299"/>
      <c r="N481" s="200"/>
      <c r="O481" s="199"/>
      <c r="P481" s="24"/>
      <c r="Q481" s="24"/>
      <c r="R481" s="398"/>
      <c r="S481" s="398"/>
      <c r="T481" s="398"/>
      <c r="U481" s="398"/>
      <c r="V481" s="398"/>
      <c r="W481" s="398"/>
      <c r="X481" s="398"/>
      <c r="Y481" s="398"/>
      <c r="Z481" s="398"/>
      <c r="AA481" s="398"/>
      <c r="AB481" s="200"/>
      <c r="AC481" s="1"/>
      <c r="AD481" s="1"/>
      <c r="AE481" s="1"/>
      <c r="AF481" s="1"/>
      <c r="AG481" s="1"/>
      <c r="AH481" s="1"/>
      <c r="AI481" s="1"/>
      <c r="AJ481" s="1"/>
      <c r="AK481" s="1"/>
      <c r="AL481" s="1"/>
      <c r="AM481" s="1"/>
      <c r="AN481" s="1"/>
      <c r="AO481" s="1"/>
      <c r="AP481" s="1"/>
      <c r="AQ481" s="1"/>
      <c r="AR481" s="1"/>
      <c r="AS481" s="1"/>
      <c r="AT481" s="1"/>
      <c r="AU481" s="1"/>
      <c r="AV481" s="1"/>
      <c r="AW481" s="1"/>
      <c r="AX481" s="1"/>
      <c r="AY481" s="1"/>
    </row>
    <row r="482" spans="1:66" ht="4.95" customHeight="1">
      <c r="A482" s="199"/>
      <c r="B482" s="24"/>
      <c r="C482" s="24"/>
      <c r="D482" s="24"/>
      <c r="E482" s="24"/>
      <c r="F482" s="24"/>
      <c r="G482" s="24"/>
      <c r="H482" s="24"/>
      <c r="I482" s="24"/>
      <c r="J482" s="24"/>
      <c r="K482" s="24"/>
      <c r="L482" s="24"/>
      <c r="M482" s="24"/>
      <c r="N482" s="200"/>
      <c r="O482" s="199"/>
      <c r="P482" s="24"/>
      <c r="Q482" s="24"/>
      <c r="R482" s="398"/>
      <c r="S482" s="398"/>
      <c r="T482" s="398"/>
      <c r="U482" s="398"/>
      <c r="V482" s="398"/>
      <c r="W482" s="398"/>
      <c r="X482" s="398"/>
      <c r="Y482" s="398"/>
      <c r="Z482" s="398"/>
      <c r="AA482" s="398"/>
      <c r="AB482" s="200"/>
      <c r="AC482" s="1"/>
      <c r="AD482" s="1"/>
      <c r="AE482" s="1"/>
      <c r="AF482" s="1"/>
      <c r="AG482" s="1"/>
      <c r="AH482" s="1"/>
      <c r="AI482" s="1"/>
      <c r="AJ482" s="1"/>
      <c r="AK482" s="1"/>
      <c r="AL482" s="1"/>
      <c r="AM482" s="1"/>
      <c r="AN482" s="1"/>
      <c r="AO482" s="1"/>
      <c r="AP482" s="1"/>
      <c r="AQ482" s="1"/>
      <c r="AR482" s="1"/>
      <c r="AS482" s="1"/>
      <c r="AT482" s="1"/>
      <c r="AU482" s="1"/>
      <c r="AV482" s="1"/>
      <c r="AW482" s="1"/>
      <c r="AX482" s="1"/>
      <c r="AY482" s="1"/>
    </row>
    <row r="483" spans="1:66" ht="16.95" customHeight="1">
      <c r="A483" s="199"/>
      <c r="B483" s="24"/>
      <c r="C483" s="24"/>
      <c r="D483" s="24"/>
      <c r="E483" s="24"/>
      <c r="F483" s="24"/>
      <c r="G483" s="24"/>
      <c r="H483" s="24"/>
      <c r="I483" s="24"/>
      <c r="J483" s="24"/>
      <c r="K483" s="24"/>
      <c r="L483" s="24"/>
      <c r="M483" s="24"/>
      <c r="N483" s="200"/>
      <c r="O483" s="199"/>
      <c r="P483" s="24"/>
      <c r="Q483" s="24"/>
      <c r="R483" s="398"/>
      <c r="S483" s="398"/>
      <c r="T483" s="398"/>
      <c r="U483" s="398"/>
      <c r="V483" s="398"/>
      <c r="W483" s="398"/>
      <c r="X483" s="398"/>
      <c r="Y483" s="398"/>
      <c r="Z483" s="398"/>
      <c r="AA483" s="398"/>
      <c r="AB483" s="200"/>
      <c r="AC483" s="1"/>
      <c r="AD483" s="1"/>
      <c r="AE483" s="1"/>
      <c r="AF483" s="1"/>
      <c r="AG483" s="1"/>
      <c r="AH483" s="1"/>
      <c r="AI483" s="1"/>
      <c r="AJ483" s="1"/>
      <c r="AK483" s="1"/>
      <c r="AL483" s="1"/>
      <c r="AM483" s="1"/>
      <c r="AN483" s="1"/>
      <c r="AO483" s="1"/>
      <c r="AP483" s="1"/>
      <c r="AQ483" s="1"/>
      <c r="AR483" s="1"/>
      <c r="AS483" s="1"/>
      <c r="AT483" s="1"/>
      <c r="AU483" s="1"/>
      <c r="AV483" s="1"/>
      <c r="AW483" s="1"/>
      <c r="AX483" s="1"/>
      <c r="AY483" s="1"/>
    </row>
    <row r="484" spans="1:66" ht="16.95" customHeight="1">
      <c r="A484" s="199"/>
      <c r="B484" s="24"/>
      <c r="C484" s="24"/>
      <c r="D484" s="24"/>
      <c r="E484" s="24"/>
      <c r="F484" s="24"/>
      <c r="G484" s="24"/>
      <c r="H484" s="24"/>
      <c r="I484" s="24"/>
      <c r="J484" s="24"/>
      <c r="K484" s="24"/>
      <c r="L484" s="24"/>
      <c r="M484" s="24"/>
      <c r="N484" s="200"/>
      <c r="O484" s="199"/>
      <c r="P484" s="24"/>
      <c r="Q484" s="24"/>
      <c r="R484" s="398"/>
      <c r="S484" s="398"/>
      <c r="T484" s="398"/>
      <c r="U484" s="398"/>
      <c r="V484" s="398"/>
      <c r="W484" s="398"/>
      <c r="X484" s="398"/>
      <c r="Y484" s="398"/>
      <c r="Z484" s="398"/>
      <c r="AA484" s="398"/>
      <c r="AB484" s="200"/>
      <c r="AC484" s="1"/>
      <c r="AD484" s="1"/>
      <c r="AE484" s="1"/>
      <c r="AF484" s="1"/>
      <c r="AG484" s="1"/>
      <c r="AH484" s="1"/>
      <c r="AI484" s="1"/>
      <c r="AJ484" s="1"/>
      <c r="AK484" s="1"/>
      <c r="AL484" s="1"/>
      <c r="AM484" s="1"/>
      <c r="AN484" s="1"/>
      <c r="AO484" s="1"/>
      <c r="AP484" s="1"/>
      <c r="AQ484" s="1"/>
      <c r="AR484" s="1"/>
      <c r="AS484" s="1"/>
      <c r="AT484" s="1"/>
      <c r="AU484" s="1"/>
      <c r="AV484" s="1"/>
      <c r="AW484" s="1"/>
      <c r="AX484" s="1"/>
      <c r="AY484" s="1"/>
    </row>
    <row r="485" spans="1:66" ht="16.95" customHeight="1">
      <c r="A485" s="199"/>
      <c r="B485" s="24"/>
      <c r="C485" s="24"/>
      <c r="D485" s="24"/>
      <c r="E485" s="24"/>
      <c r="F485" s="24"/>
      <c r="G485" s="24"/>
      <c r="H485" s="24"/>
      <c r="I485" s="24"/>
      <c r="J485" s="24"/>
      <c r="K485" s="24"/>
      <c r="L485" s="24"/>
      <c r="M485" s="24"/>
      <c r="N485" s="200"/>
      <c r="O485" s="199"/>
      <c r="P485" s="24"/>
      <c r="Q485" s="24"/>
      <c r="R485" s="398"/>
      <c r="S485" s="398"/>
      <c r="T485" s="398"/>
      <c r="U485" s="398"/>
      <c r="V485" s="398"/>
      <c r="W485" s="398"/>
      <c r="X485" s="398"/>
      <c r="Y485" s="398"/>
      <c r="Z485" s="398"/>
      <c r="AA485" s="398"/>
      <c r="AB485" s="200"/>
      <c r="AC485" s="1"/>
      <c r="AD485" s="1"/>
      <c r="AE485" s="1"/>
      <c r="AF485" s="1"/>
      <c r="AG485" s="1"/>
      <c r="AH485" s="1"/>
      <c r="AI485" s="1"/>
      <c r="AJ485" s="1"/>
      <c r="AK485" s="1"/>
      <c r="AL485" s="1"/>
      <c r="AM485" s="1"/>
      <c r="AN485" s="1"/>
      <c r="AO485" s="1"/>
      <c r="AP485" s="1"/>
      <c r="AQ485" s="1"/>
      <c r="AR485" s="1"/>
      <c r="AS485" s="1"/>
      <c r="AT485" s="1"/>
      <c r="AU485" s="1"/>
      <c r="AV485" s="1"/>
      <c r="AW485" s="1"/>
      <c r="AX485" s="1"/>
      <c r="AY485" s="1"/>
    </row>
    <row r="486" spans="1:66" ht="16.95" customHeight="1">
      <c r="A486" s="199"/>
      <c r="B486" s="24"/>
      <c r="C486" s="24"/>
      <c r="D486" s="24"/>
      <c r="E486" s="24"/>
      <c r="F486" s="24"/>
      <c r="G486" s="24"/>
      <c r="H486" s="24"/>
      <c r="I486" s="24"/>
      <c r="J486" s="24"/>
      <c r="K486" s="24"/>
      <c r="L486" s="24"/>
      <c r="M486" s="24"/>
      <c r="N486" s="200"/>
      <c r="O486" s="199"/>
      <c r="P486" s="24"/>
      <c r="Q486" s="24"/>
      <c r="R486" s="398"/>
      <c r="S486" s="398"/>
      <c r="T486" s="398"/>
      <c r="U486" s="398"/>
      <c r="V486" s="398"/>
      <c r="W486" s="398"/>
      <c r="X486" s="398"/>
      <c r="Y486" s="398"/>
      <c r="Z486" s="398"/>
      <c r="AA486" s="398"/>
      <c r="AB486" s="200"/>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BF486" s="459" t="str">
        <f>IF(OR($I$1094=0,$B$1124=""),BH486,BF488)</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BH486" s="465" t="s">
        <v>2024</v>
      </c>
    </row>
    <row r="487" spans="1:66" ht="4.95" customHeight="1">
      <c r="A487" s="199"/>
      <c r="B487" s="24"/>
      <c r="C487" s="24"/>
      <c r="D487" s="24"/>
      <c r="E487" s="24"/>
      <c r="F487" s="24"/>
      <c r="G487" s="24"/>
      <c r="H487" s="24"/>
      <c r="I487" s="24"/>
      <c r="J487" s="24"/>
      <c r="K487" s="24"/>
      <c r="L487" s="24"/>
      <c r="M487" s="24"/>
      <c r="N487" s="200"/>
      <c r="O487" s="199"/>
      <c r="P487" s="24"/>
      <c r="Q487" s="24"/>
      <c r="R487" s="398"/>
      <c r="S487" s="398"/>
      <c r="T487" s="398"/>
      <c r="U487" s="398"/>
      <c r="V487" s="398"/>
      <c r="W487" s="398"/>
      <c r="X487" s="398"/>
      <c r="Y487" s="398"/>
      <c r="Z487" s="398"/>
      <c r="AA487" s="398"/>
      <c r="AB487" s="200"/>
      <c r="AC487" s="1"/>
      <c r="AD487" s="1"/>
      <c r="AE487" s="1"/>
      <c r="AF487" s="1"/>
      <c r="AG487" s="1"/>
      <c r="AH487" s="1"/>
      <c r="AI487" s="1"/>
      <c r="AJ487" s="1"/>
      <c r="AK487" s="1"/>
      <c r="AL487" s="1"/>
      <c r="AM487" s="1"/>
      <c r="AN487" s="1"/>
      <c r="AO487" s="1"/>
      <c r="AP487" s="1"/>
      <c r="AQ487" s="1"/>
      <c r="AR487" s="1"/>
      <c r="AS487" s="1"/>
      <c r="AT487" s="1"/>
      <c r="AU487" s="1"/>
      <c r="AV487" s="1"/>
      <c r="AW487" s="1"/>
      <c r="AX487" s="1"/>
      <c r="AY487" s="1"/>
    </row>
    <row r="488" spans="1:66" ht="18" customHeight="1">
      <c r="A488" s="199"/>
      <c r="B488" s="1299" t="str">
        <f>BF486</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C488" s="1299"/>
      <c r="D488" s="1299"/>
      <c r="E488" s="1299"/>
      <c r="F488" s="1299"/>
      <c r="G488" s="1299"/>
      <c r="H488" s="1299"/>
      <c r="I488" s="1299"/>
      <c r="J488" s="1299"/>
      <c r="K488" s="1299"/>
      <c r="L488" s="1299"/>
      <c r="M488" s="1299"/>
      <c r="N488" s="200"/>
      <c r="O488" s="199"/>
      <c r="P488" s="24"/>
      <c r="Q488" s="24"/>
      <c r="R488" s="398"/>
      <c r="S488" s="398"/>
      <c r="T488" s="398"/>
      <c r="U488" s="398"/>
      <c r="V488" s="398"/>
      <c r="W488" s="398"/>
      <c r="X488" s="398"/>
      <c r="Y488" s="398"/>
      <c r="Z488" s="398"/>
      <c r="AA488" s="398"/>
      <c r="AB488" s="200"/>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BF488" s="459" t="str">
        <f>CONCATENATE(BH488,BI488,BJ488,BK488,BL488,BM488,BN488,BI489,BJ489,BK489,BL489,BM489,BN489)</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BH488" s="409" t="s">
        <v>1833</v>
      </c>
      <c r="BI488" s="2" t="str">
        <f>BH1122</f>
        <v>self-protection</v>
      </c>
      <c r="BJ488" s="409" t="s">
        <v>1675</v>
      </c>
      <c r="BK488" s="2" t="str">
        <f>BJ1122</f>
        <v>local cohesion</v>
      </c>
      <c r="BL488" s="409" t="s">
        <v>1834</v>
      </c>
      <c r="BM488" s="2" t="str">
        <f>BG1122</f>
        <v>full inclusion</v>
      </c>
      <c r="BN488" s="409" t="s">
        <v>1675</v>
      </c>
    </row>
    <row r="489" spans="1:66" ht="18" customHeight="1">
      <c r="A489" s="199"/>
      <c r="B489" s="1299"/>
      <c r="C489" s="1299"/>
      <c r="D489" s="1299"/>
      <c r="E489" s="1299"/>
      <c r="F489" s="1299"/>
      <c r="G489" s="1299"/>
      <c r="H489" s="1299"/>
      <c r="I489" s="1299"/>
      <c r="J489" s="1299"/>
      <c r="K489" s="1299"/>
      <c r="L489" s="1299"/>
      <c r="M489" s="1299"/>
      <c r="N489" s="200"/>
      <c r="O489" s="199"/>
      <c r="P489" s="24"/>
      <c r="Q489" s="24"/>
      <c r="R489" s="398"/>
      <c r="S489" s="398"/>
      <c r="T489" s="398"/>
      <c r="U489" s="398"/>
      <c r="V489" s="398"/>
      <c r="W489" s="398"/>
      <c r="X489" s="398"/>
      <c r="Y489" s="398"/>
      <c r="Z489" s="398"/>
      <c r="AA489" s="398"/>
      <c r="AB489" s="200"/>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BI489" s="2" t="str">
        <f>BI1122</f>
        <v>self-determination</v>
      </c>
      <c r="BJ489" s="409" t="s">
        <v>1676</v>
      </c>
      <c r="BK489" s="2" t="str">
        <f>BM1122</f>
        <v>affected nativists</v>
      </c>
      <c r="BL489" s="409" t="s">
        <v>1678</v>
      </c>
      <c r="BM489" s="2" t="str">
        <f>BN1122</f>
        <v>desperate immigrants</v>
      </c>
      <c r="BN489" s="409" t="s">
        <v>706</v>
      </c>
    </row>
    <row r="490" spans="1:66" ht="18" customHeight="1">
      <c r="A490" s="199"/>
      <c r="B490" s="1299"/>
      <c r="C490" s="1299"/>
      <c r="D490" s="1299"/>
      <c r="E490" s="1299"/>
      <c r="F490" s="1299"/>
      <c r="G490" s="1299"/>
      <c r="H490" s="1299"/>
      <c r="I490" s="1299"/>
      <c r="J490" s="1299"/>
      <c r="K490" s="1299"/>
      <c r="L490" s="1299"/>
      <c r="M490" s="1299"/>
      <c r="N490" s="200"/>
      <c r="O490" s="199"/>
      <c r="P490" s="24"/>
      <c r="Q490" s="24"/>
      <c r="R490" s="398"/>
      <c r="S490" s="398"/>
      <c r="T490" s="398"/>
      <c r="U490" s="398"/>
      <c r="V490" s="398"/>
      <c r="W490" s="398"/>
      <c r="X490" s="398"/>
      <c r="Y490" s="398"/>
      <c r="Z490" s="398"/>
      <c r="AA490" s="398"/>
      <c r="AB490" s="200"/>
      <c r="AC490" s="1"/>
      <c r="AD490" s="1"/>
      <c r="AE490" s="1"/>
      <c r="AF490" s="1"/>
      <c r="AG490" s="1"/>
      <c r="AH490" s="1"/>
      <c r="AI490" s="1"/>
      <c r="AJ490" s="1"/>
      <c r="AK490" s="1"/>
      <c r="AL490" s="1"/>
      <c r="AM490" s="1"/>
      <c r="AN490" s="1"/>
      <c r="AO490" s="1"/>
      <c r="AP490" s="1"/>
      <c r="AQ490" s="1"/>
      <c r="AR490" s="1"/>
      <c r="AS490" s="1"/>
      <c r="AT490" s="1"/>
      <c r="AU490" s="1"/>
      <c r="AV490" s="1"/>
      <c r="AW490" s="1"/>
      <c r="AX490" s="1"/>
      <c r="AY490" s="1"/>
    </row>
    <row r="491" spans="1:66" ht="18" customHeight="1">
      <c r="A491" s="199"/>
      <c r="B491" s="1299"/>
      <c r="C491" s="1299"/>
      <c r="D491" s="1299"/>
      <c r="E491" s="1299"/>
      <c r="F491" s="1299"/>
      <c r="G491" s="1299"/>
      <c r="H491" s="1299"/>
      <c r="I491" s="1299"/>
      <c r="J491" s="1299"/>
      <c r="K491" s="1299"/>
      <c r="L491" s="1299"/>
      <c r="M491" s="1299"/>
      <c r="N491" s="200"/>
      <c r="O491" s="199"/>
      <c r="P491" s="24"/>
      <c r="Q491" s="24"/>
      <c r="R491" s="398"/>
      <c r="S491" s="398"/>
      <c r="T491" s="398"/>
      <c r="U491" s="398"/>
      <c r="V491" s="398"/>
      <c r="W491" s="398"/>
      <c r="X491" s="398"/>
      <c r="Y491" s="398"/>
      <c r="Z491" s="398"/>
      <c r="AA491" s="398"/>
      <c r="AB491" s="200"/>
      <c r="AC491" s="1"/>
      <c r="AD491" s="1"/>
      <c r="AE491" s="1"/>
      <c r="AF491" s="1"/>
      <c r="AG491" s="1"/>
      <c r="AH491" s="1"/>
      <c r="AI491" s="1"/>
      <c r="AJ491" s="1"/>
      <c r="AK491" s="1"/>
      <c r="AL491" s="1"/>
      <c r="AM491" s="1"/>
      <c r="AN491" s="1"/>
      <c r="AO491" s="1"/>
      <c r="AP491" s="1"/>
      <c r="AQ491" s="1"/>
      <c r="AR491" s="1"/>
      <c r="AS491" s="1"/>
      <c r="AT491" s="1"/>
      <c r="AU491" s="1"/>
      <c r="AV491" s="1"/>
      <c r="AW491" s="1"/>
      <c r="AX491" s="1"/>
      <c r="AY491" s="1"/>
    </row>
    <row r="492" spans="1:66" ht="18" customHeight="1">
      <c r="A492" s="199"/>
      <c r="B492" s="1299"/>
      <c r="C492" s="1299"/>
      <c r="D492" s="1299"/>
      <c r="E492" s="1299"/>
      <c r="F492" s="1299"/>
      <c r="G492" s="1299"/>
      <c r="H492" s="1299"/>
      <c r="I492" s="1299"/>
      <c r="J492" s="1299"/>
      <c r="K492" s="1299"/>
      <c r="L492" s="1299"/>
      <c r="M492" s="1299"/>
      <c r="N492" s="200"/>
      <c r="O492" s="199"/>
      <c r="P492" s="24"/>
      <c r="Q492" s="24"/>
      <c r="R492" s="398"/>
      <c r="S492" s="398"/>
      <c r="T492" s="398"/>
      <c r="U492" s="398"/>
      <c r="V492" s="398"/>
      <c r="W492" s="398"/>
      <c r="X492" s="398"/>
      <c r="Y492" s="398"/>
      <c r="Z492" s="398"/>
      <c r="AA492" s="398"/>
      <c r="AB492" s="200"/>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BF492" s="459" t="str">
        <f>IF(OR($I$1094=0,$B$1124=""),BH492,BF494)</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BH492" s="465" t="s">
        <v>1837</v>
      </c>
    </row>
    <row r="493" spans="1:66" ht="4.95" customHeight="1">
      <c r="A493" s="199"/>
      <c r="B493" s="24"/>
      <c r="C493" s="24"/>
      <c r="D493" s="24"/>
      <c r="E493" s="24"/>
      <c r="F493" s="24"/>
      <c r="G493" s="24"/>
      <c r="H493" s="24"/>
      <c r="I493" s="24"/>
      <c r="J493" s="24"/>
      <c r="K493" s="24"/>
      <c r="L493" s="24"/>
      <c r="M493" s="24"/>
      <c r="N493" s="200"/>
      <c r="O493" s="199"/>
      <c r="P493" s="24"/>
      <c r="Q493" s="24"/>
      <c r="R493" s="398"/>
      <c r="S493" s="398"/>
      <c r="T493" s="398"/>
      <c r="U493" s="398"/>
      <c r="V493" s="398"/>
      <c r="W493" s="398"/>
      <c r="X493" s="398"/>
      <c r="Y493" s="398"/>
      <c r="Z493" s="398"/>
      <c r="AA493" s="398"/>
      <c r="AB493" s="200"/>
      <c r="AC493" s="1"/>
      <c r="AD493" s="1"/>
      <c r="AE493" s="1"/>
      <c r="AF493" s="1"/>
      <c r="AG493" s="1"/>
      <c r="AH493" s="1"/>
      <c r="AI493" s="1"/>
      <c r="AJ493" s="1"/>
      <c r="AK493" s="1"/>
      <c r="AL493" s="1"/>
      <c r="AM493" s="1"/>
      <c r="AN493" s="1"/>
      <c r="AO493" s="1"/>
      <c r="AP493" s="1"/>
      <c r="AQ493" s="1"/>
      <c r="AR493" s="1"/>
      <c r="AS493" s="1"/>
      <c r="AT493" s="1"/>
      <c r="AU493" s="1"/>
      <c r="AV493" s="1"/>
      <c r="AW493" s="1"/>
      <c r="AX493" s="1"/>
      <c r="AY493" s="1"/>
    </row>
    <row r="494" spans="1:66" ht="22.05" customHeight="1">
      <c r="A494" s="199"/>
      <c r="B494" s="1277" t="str">
        <f>BF492</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C494" s="1277"/>
      <c r="D494" s="1277"/>
      <c r="E494" s="1277"/>
      <c r="F494" s="1277"/>
      <c r="G494" s="1277"/>
      <c r="H494" s="1277"/>
      <c r="I494" s="1277"/>
      <c r="J494" s="1277"/>
      <c r="K494" s="1277"/>
      <c r="L494" s="1277"/>
      <c r="M494" s="1277"/>
      <c r="N494" s="200"/>
      <c r="O494" s="199"/>
      <c r="P494" s="24"/>
      <c r="Q494" s="24"/>
      <c r="R494" s="398"/>
      <c r="S494" s="398"/>
      <c r="T494" s="398"/>
      <c r="U494" s="398"/>
      <c r="V494" s="398"/>
      <c r="W494" s="398"/>
      <c r="X494" s="398"/>
      <c r="Y494" s="398"/>
      <c r="Z494" s="398"/>
      <c r="AA494" s="398"/>
      <c r="AB494" s="200"/>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BF494" s="459" t="str">
        <f>CONCATENATE(BH494,BI494,BJ494,BK494,BL494,BM494,BN494,BO494)</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BH494" s="409" t="s">
        <v>1694</v>
      </c>
      <c r="BI494" s="2" t="str">
        <f>BC1122</f>
        <v>"xenophobes"</v>
      </c>
      <c r="BJ494" s="409" t="s">
        <v>1835</v>
      </c>
      <c r="BK494" s="2" t="str">
        <f>BD1122</f>
        <v>"illegals"</v>
      </c>
      <c r="BL494" s="409" t="s">
        <v>1836</v>
      </c>
      <c r="BM494" s="2" t="str">
        <f>D1124</f>
        <v>immigration</v>
      </c>
      <c r="BN494" s="465" t="s">
        <v>1679</v>
      </c>
    </row>
    <row r="495" spans="1:66" ht="22.05" customHeight="1">
      <c r="A495" s="199"/>
      <c r="B495" s="1277"/>
      <c r="C495" s="1277"/>
      <c r="D495" s="1277"/>
      <c r="E495" s="1277"/>
      <c r="F495" s="1277"/>
      <c r="G495" s="1277"/>
      <c r="H495" s="1277"/>
      <c r="I495" s="1277"/>
      <c r="J495" s="1277"/>
      <c r="K495" s="1277"/>
      <c r="L495" s="1277"/>
      <c r="M495" s="1277"/>
      <c r="N495" s="200"/>
      <c r="O495" s="199"/>
      <c r="P495" s="24"/>
      <c r="Q495" s="24"/>
      <c r="R495" s="398"/>
      <c r="S495" s="398"/>
      <c r="T495" s="398"/>
      <c r="U495" s="398"/>
      <c r="V495" s="398"/>
      <c r="W495" s="398"/>
      <c r="X495" s="398"/>
      <c r="Y495" s="398"/>
      <c r="Z495" s="398"/>
      <c r="AA495" s="398"/>
      <c r="AB495" s="200"/>
      <c r="AC495" s="1"/>
      <c r="AD495" s="1"/>
      <c r="AE495" s="1"/>
      <c r="AF495" s="1"/>
      <c r="AG495" s="1"/>
      <c r="AH495" s="1"/>
      <c r="AI495" s="1"/>
      <c r="AJ495" s="1"/>
      <c r="AK495" s="1"/>
      <c r="AL495" s="1"/>
      <c r="AM495" s="1"/>
      <c r="AN495" s="1"/>
      <c r="AO495" s="1"/>
      <c r="AP495" s="1"/>
      <c r="AQ495" s="1"/>
      <c r="AR495" s="1"/>
      <c r="AS495" s="1"/>
      <c r="AT495" s="1"/>
      <c r="AU495" s="1"/>
      <c r="AV495" s="1"/>
      <c r="AW495" s="1"/>
      <c r="AX495" s="1"/>
      <c r="AY495" s="1"/>
    </row>
    <row r="496" spans="1:66" ht="22.05" customHeight="1">
      <c r="A496" s="199"/>
      <c r="B496" s="1277"/>
      <c r="C496" s="1277"/>
      <c r="D496" s="1277"/>
      <c r="E496" s="1277"/>
      <c r="F496" s="1277"/>
      <c r="G496" s="1277"/>
      <c r="H496" s="1277"/>
      <c r="I496" s="1277"/>
      <c r="J496" s="1277"/>
      <c r="K496" s="1277"/>
      <c r="L496" s="1277"/>
      <c r="M496" s="1277"/>
      <c r="N496" s="200"/>
      <c r="O496" s="199"/>
      <c r="P496" s="24"/>
      <c r="Q496" s="24"/>
      <c r="R496" s="398"/>
      <c r="S496" s="398"/>
      <c r="T496" s="398"/>
      <c r="U496" s="398"/>
      <c r="V496" s="398"/>
      <c r="W496" s="398"/>
      <c r="X496" s="398"/>
      <c r="Y496" s="398"/>
      <c r="Z496" s="398"/>
      <c r="AA496" s="398"/>
      <c r="AB496" s="200"/>
      <c r="AC496" s="1"/>
      <c r="AD496" s="1"/>
      <c r="AE496" s="1"/>
      <c r="AF496" s="1"/>
      <c r="AG496" s="1"/>
      <c r="AH496" s="1"/>
      <c r="AI496" s="1"/>
      <c r="AJ496" s="1"/>
      <c r="AK496" s="1"/>
      <c r="AL496" s="1"/>
      <c r="AM496" s="1"/>
      <c r="AN496" s="1"/>
      <c r="AO496" s="1"/>
      <c r="AP496" s="1"/>
      <c r="AQ496" s="1"/>
      <c r="AR496" s="1"/>
      <c r="AS496" s="1"/>
      <c r="AT496" s="1"/>
      <c r="AU496" s="1"/>
      <c r="AV496" s="1"/>
      <c r="AW496" s="1"/>
      <c r="AX496" s="1"/>
      <c r="AY496" s="1"/>
    </row>
    <row r="497" spans="1:73" ht="22.05" customHeight="1">
      <c r="A497" s="199"/>
      <c r="B497" s="1277"/>
      <c r="C497" s="1277"/>
      <c r="D497" s="1277"/>
      <c r="E497" s="1277"/>
      <c r="F497" s="1277"/>
      <c r="G497" s="1277"/>
      <c r="H497" s="1277"/>
      <c r="I497" s="1277"/>
      <c r="J497" s="1277"/>
      <c r="K497" s="1277"/>
      <c r="L497" s="1277"/>
      <c r="M497" s="1277"/>
      <c r="N497" s="200"/>
      <c r="O497" s="199"/>
      <c r="P497" s="24"/>
      <c r="Q497" s="24"/>
      <c r="R497" s="398"/>
      <c r="S497" s="398"/>
      <c r="T497" s="398"/>
      <c r="U497" s="398"/>
      <c r="V497" s="398"/>
      <c r="W497" s="398"/>
      <c r="X497" s="398"/>
      <c r="Y497" s="398"/>
      <c r="Z497" s="398"/>
      <c r="AA497" s="398"/>
      <c r="AB497" s="200"/>
      <c r="AC497" s="1"/>
      <c r="AD497" s="1"/>
      <c r="AE497" s="1"/>
      <c r="AF497" s="1"/>
      <c r="AG497" s="1"/>
      <c r="AH497" s="1"/>
      <c r="AI497" s="1"/>
      <c r="AJ497" s="1"/>
      <c r="AK497" s="1"/>
      <c r="AL497" s="1"/>
      <c r="AM497" s="1"/>
      <c r="AN497" s="1"/>
      <c r="AO497" s="1"/>
      <c r="AP497" s="1"/>
      <c r="AQ497" s="1"/>
      <c r="AR497" s="1"/>
      <c r="AS497" s="1"/>
      <c r="AT497" s="1"/>
      <c r="AU497" s="1"/>
      <c r="AV497" s="1"/>
      <c r="AW497" s="1"/>
      <c r="AX497" s="1"/>
      <c r="AY497" s="1"/>
    </row>
    <row r="498" spans="1:73" ht="22.05" customHeight="1">
      <c r="A498" s="199"/>
      <c r="B498" s="1277"/>
      <c r="C498" s="1277"/>
      <c r="D498" s="1277"/>
      <c r="E498" s="1277"/>
      <c r="F498" s="1277"/>
      <c r="G498" s="1277"/>
      <c r="H498" s="1277"/>
      <c r="I498" s="1277"/>
      <c r="J498" s="1277"/>
      <c r="K498" s="1277"/>
      <c r="L498" s="1277"/>
      <c r="M498" s="1277"/>
      <c r="N498" s="200"/>
      <c r="O498" s="199"/>
      <c r="P498" s="24"/>
      <c r="Q498" s="24"/>
      <c r="R498" s="398"/>
      <c r="S498" s="398"/>
      <c r="T498" s="398"/>
      <c r="U498" s="398"/>
      <c r="V498" s="398"/>
      <c r="W498" s="398"/>
      <c r="X498" s="398"/>
      <c r="Y498" s="398"/>
      <c r="Z498" s="398"/>
      <c r="AA498" s="398"/>
      <c r="AB498" s="200"/>
      <c r="AC498" s="1"/>
      <c r="AD498" s="1"/>
      <c r="AE498" s="1"/>
      <c r="AF498" s="1"/>
      <c r="AG498" s="1"/>
      <c r="AH498" s="1"/>
      <c r="AI498" s="1"/>
      <c r="AJ498" s="1"/>
      <c r="AK498" s="1"/>
      <c r="AL498" s="1"/>
      <c r="AM498" s="1"/>
      <c r="AN498" s="1"/>
      <c r="AO498" s="1"/>
      <c r="AP498" s="1"/>
      <c r="AQ498" s="1"/>
      <c r="AR498" s="1"/>
      <c r="AS498" s="1"/>
      <c r="AT498" s="1"/>
      <c r="AU498" s="1"/>
      <c r="AV498" s="1"/>
      <c r="AW498" s="1"/>
      <c r="AX498" s="1"/>
      <c r="AY498" s="1"/>
    </row>
    <row r="499" spans="1:73" ht="10.050000000000001" customHeight="1">
      <c r="A499" s="199"/>
      <c r="B499" s="24"/>
      <c r="C499" s="24"/>
      <c r="D499" s="24"/>
      <c r="E499" s="24"/>
      <c r="F499" s="24"/>
      <c r="G499" s="24"/>
      <c r="H499" s="24"/>
      <c r="I499" s="24"/>
      <c r="J499" s="24"/>
      <c r="K499" s="24"/>
      <c r="L499" s="24"/>
      <c r="M499" s="24"/>
      <c r="N499" s="200"/>
      <c r="O499" s="199"/>
      <c r="P499" s="24"/>
      <c r="Q499" s="24"/>
      <c r="R499" s="398"/>
      <c r="S499" s="398"/>
      <c r="T499" s="398"/>
      <c r="U499" s="398"/>
      <c r="V499" s="398"/>
      <c r="W499" s="398"/>
      <c r="X499" s="398"/>
      <c r="Y499" s="398"/>
      <c r="Z499" s="398"/>
      <c r="AA499" s="398"/>
      <c r="AB499" s="200"/>
      <c r="AC499" s="1"/>
      <c r="AD499" s="1"/>
      <c r="AE499" s="1"/>
      <c r="AF499" s="1"/>
      <c r="AG499" s="1"/>
      <c r="AH499" s="1"/>
      <c r="AI499" s="1"/>
      <c r="AJ499" s="1"/>
      <c r="AK499" s="1"/>
      <c r="AL499" s="1"/>
      <c r="AM499" s="1"/>
      <c r="AN499" s="1"/>
      <c r="AO499" s="1"/>
      <c r="AP499" s="1"/>
      <c r="AQ499" s="1"/>
      <c r="AR499" s="1"/>
      <c r="AS499" s="1"/>
      <c r="AT499" s="1"/>
      <c r="AU499" s="1"/>
      <c r="AV499" s="1"/>
      <c r="AW499" s="1"/>
      <c r="AX499" s="1"/>
      <c r="AY499" s="1"/>
    </row>
    <row r="500" spans="1:73" ht="30" customHeight="1">
      <c r="A500" s="210" t="s">
        <v>1148</v>
      </c>
      <c r="B500" s="579" t="s">
        <v>1649</v>
      </c>
      <c r="C500" s="373"/>
      <c r="D500" s="373"/>
      <c r="E500" s="375"/>
      <c r="F500" s="374"/>
      <c r="G500" s="373"/>
      <c r="H500" s="373"/>
      <c r="I500" s="373"/>
      <c r="J500" s="373"/>
      <c r="K500" s="373"/>
      <c r="L500" s="373"/>
      <c r="M500" s="373"/>
      <c r="N500" s="211" t="s">
        <v>1149</v>
      </c>
      <c r="O500" s="372"/>
      <c r="P500" s="374"/>
      <c r="Q500" s="373"/>
      <c r="R500" s="373"/>
      <c r="S500" s="373"/>
      <c r="T500" s="373"/>
      <c r="U500" s="373"/>
      <c r="V500" s="373"/>
      <c r="W500" s="373"/>
      <c r="X500" s="373"/>
      <c r="Y500" s="373"/>
      <c r="Z500" s="373"/>
      <c r="AA500" s="373"/>
      <c r="AB500" s="211" t="s">
        <v>1149</v>
      </c>
      <c r="AC500" s="577"/>
      <c r="AD500" s="577"/>
      <c r="AE500" s="577"/>
      <c r="AF500" s="577"/>
      <c r="AG500" s="577"/>
      <c r="AH500" s="577"/>
      <c r="AI500" s="577"/>
      <c r="AJ500" s="577"/>
      <c r="AK500" s="577"/>
      <c r="AL500" s="577"/>
      <c r="AM500" s="577"/>
      <c r="AN500" s="577"/>
      <c r="AO500" s="577"/>
      <c r="AP500" s="577"/>
      <c r="AQ500" s="577"/>
      <c r="AR500" s="577"/>
      <c r="AS500" s="577"/>
      <c r="AT500" s="577"/>
      <c r="AU500" s="577"/>
      <c r="AV500" s="577"/>
      <c r="AW500" s="577"/>
      <c r="AX500" s="577"/>
      <c r="AY500" s="577"/>
      <c r="BH500" s="139"/>
      <c r="BU500" s="139"/>
    </row>
    <row r="501" spans="1:73" ht="10.050000000000001" customHeight="1">
      <c r="A501" s="199"/>
      <c r="B501" s="24"/>
      <c r="C501" s="24"/>
      <c r="D501" s="24"/>
      <c r="E501" s="24"/>
      <c r="F501" s="24"/>
      <c r="G501" s="24"/>
      <c r="H501" s="24"/>
      <c r="I501" s="24"/>
      <c r="J501" s="24"/>
      <c r="K501" s="24"/>
      <c r="L501" s="24"/>
      <c r="M501" s="24"/>
      <c r="N501" s="200"/>
      <c r="O501" s="199"/>
      <c r="P501" s="24"/>
      <c r="Q501" s="24"/>
      <c r="R501" s="398"/>
      <c r="S501" s="398"/>
      <c r="T501" s="398"/>
      <c r="U501" s="398"/>
      <c r="V501" s="398"/>
      <c r="W501" s="398"/>
      <c r="X501" s="398"/>
      <c r="Y501" s="398"/>
      <c r="Z501" s="398"/>
      <c r="AA501" s="398"/>
      <c r="AB501" s="200"/>
      <c r="AC501" s="1"/>
      <c r="AD501" s="1"/>
      <c r="AE501" s="1"/>
      <c r="AF501" s="1"/>
      <c r="AG501" s="1"/>
      <c r="AH501" s="1"/>
      <c r="AI501" s="1"/>
      <c r="AJ501" s="1"/>
      <c r="AK501" s="1"/>
      <c r="AL501" s="1"/>
      <c r="AM501" s="1"/>
      <c r="AN501" s="1"/>
      <c r="AO501" s="1"/>
      <c r="AP501" s="1"/>
      <c r="AQ501" s="1"/>
      <c r="AR501" s="1"/>
      <c r="AS501" s="1"/>
      <c r="AT501" s="1"/>
      <c r="AU501" s="1"/>
      <c r="AV501" s="1"/>
      <c r="AW501" s="1"/>
      <c r="AX501" s="1"/>
      <c r="AY501" s="1"/>
    </row>
    <row r="502" spans="1:73" ht="19.95" customHeight="1">
      <c r="A502" s="199"/>
      <c r="B502" s="588" t="s">
        <v>2021</v>
      </c>
      <c r="C502" s="24"/>
      <c r="D502" s="24"/>
      <c r="E502" s="24"/>
      <c r="F502" s="24"/>
      <c r="G502" s="24"/>
      <c r="H502" s="24"/>
      <c r="I502" s="24"/>
      <c r="J502" s="24"/>
      <c r="K502" s="24"/>
      <c r="L502" s="24"/>
      <c r="M502" s="24"/>
      <c r="N502" s="200"/>
      <c r="O502" s="199"/>
      <c r="P502" s="24"/>
      <c r="Q502" s="24"/>
      <c r="R502" s="398"/>
      <c r="S502" s="398"/>
      <c r="T502" s="398"/>
      <c r="U502" s="398"/>
      <c r="V502" s="398"/>
      <c r="W502" s="398"/>
      <c r="X502" s="398"/>
      <c r="Y502" s="398"/>
      <c r="Z502" s="398"/>
      <c r="AA502" s="398"/>
      <c r="AB502" s="200"/>
      <c r="AC502" s="1"/>
      <c r="AD502" s="1"/>
      <c r="AE502" s="1"/>
      <c r="AF502" s="1"/>
      <c r="AG502" s="1"/>
      <c r="AH502" s="1"/>
      <c r="AI502" s="1"/>
      <c r="AJ502" s="1"/>
      <c r="AK502" s="1"/>
      <c r="AL502" s="1"/>
      <c r="AM502" s="1"/>
      <c r="AN502" s="1"/>
      <c r="AO502" s="1"/>
      <c r="AP502" s="1"/>
      <c r="AQ502" s="1"/>
      <c r="AR502" s="1"/>
      <c r="AS502" s="1"/>
      <c r="AT502" s="1"/>
      <c r="AU502" s="1"/>
      <c r="AV502" s="1"/>
      <c r="AW502" s="1"/>
      <c r="AX502" s="1"/>
      <c r="AY502" s="1"/>
      <c r="BF502" s="459" t="str">
        <f>IF(OR($I$1094=0,$B$1124=""),BH502,BF504)</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BH502" s="465" t="s">
        <v>1840</v>
      </c>
      <c r="BI502" s="139"/>
      <c r="BJ502" s="139"/>
      <c r="BK502" s="139"/>
      <c r="BL502" s="139"/>
      <c r="BM502" s="139"/>
      <c r="BN502" s="139"/>
      <c r="BO502" s="139"/>
      <c r="BP502" s="139"/>
      <c r="BQ502" s="139"/>
      <c r="BR502" s="139"/>
      <c r="BS502" s="139"/>
      <c r="BT502" s="139"/>
    </row>
    <row r="503" spans="1:73" ht="10.050000000000001" customHeight="1">
      <c r="A503" s="199"/>
      <c r="B503" s="24"/>
      <c r="C503" s="24"/>
      <c r="D503" s="24"/>
      <c r="E503" s="24"/>
      <c r="F503" s="24"/>
      <c r="G503" s="24"/>
      <c r="H503" s="24"/>
      <c r="I503" s="24"/>
      <c r="J503" s="24"/>
      <c r="K503" s="24"/>
      <c r="L503" s="24"/>
      <c r="M503" s="24"/>
      <c r="N503" s="200"/>
      <c r="O503" s="199"/>
      <c r="P503" s="24"/>
      <c r="Q503" s="24"/>
      <c r="R503" s="398"/>
      <c r="S503" s="398"/>
      <c r="T503" s="398"/>
      <c r="U503" s="398"/>
      <c r="V503" s="398"/>
      <c r="W503" s="398"/>
      <c r="X503" s="398"/>
      <c r="Y503" s="398"/>
      <c r="Z503" s="398"/>
      <c r="AA503" s="398"/>
      <c r="AB503" s="200"/>
      <c r="AC503" s="1"/>
      <c r="AD503" s="1"/>
      <c r="AE503" s="1"/>
      <c r="AF503" s="1"/>
      <c r="AG503" s="1"/>
      <c r="AH503" s="1"/>
      <c r="AI503" s="1"/>
      <c r="AJ503" s="1"/>
      <c r="AK503" s="1"/>
      <c r="AL503" s="1"/>
      <c r="AM503" s="1"/>
      <c r="AN503" s="1"/>
      <c r="AO503" s="1"/>
      <c r="AP503" s="1"/>
      <c r="AQ503" s="1"/>
      <c r="AR503" s="1"/>
      <c r="AS503" s="1"/>
      <c r="AT503" s="1"/>
      <c r="AU503" s="1"/>
      <c r="AV503" s="1"/>
      <c r="AW503" s="1"/>
      <c r="AX503" s="1"/>
      <c r="AY503" s="1"/>
    </row>
    <row r="504" spans="1:73" ht="19.95" customHeight="1">
      <c r="A504" s="199"/>
      <c r="B504" s="1299" t="str">
        <f>BF502</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C504" s="1299"/>
      <c r="D504" s="1299"/>
      <c r="E504" s="1299"/>
      <c r="F504" s="1299"/>
      <c r="G504" s="1299"/>
      <c r="H504" s="1299"/>
      <c r="I504" s="1299"/>
      <c r="J504" s="1299"/>
      <c r="K504" s="1299"/>
      <c r="L504" s="1299"/>
      <c r="M504" s="1299"/>
      <c r="N504" s="200"/>
      <c r="O504" s="199"/>
      <c r="P504" s="24"/>
      <c r="Q504" s="24"/>
      <c r="R504" s="398"/>
      <c r="S504" s="398"/>
      <c r="T504" s="398"/>
      <c r="U504" s="398"/>
      <c r="V504" s="398"/>
      <c r="W504" s="398"/>
      <c r="X504" s="398"/>
      <c r="Y504" s="398"/>
      <c r="Z504" s="398"/>
      <c r="AA504" s="398"/>
      <c r="AB504" s="200"/>
      <c r="AC504" s="1"/>
      <c r="AD504" s="1"/>
      <c r="AE504" s="1"/>
      <c r="AF504" s="1"/>
      <c r="AG504" s="1"/>
      <c r="AH504" s="1"/>
      <c r="AI504" s="1"/>
      <c r="AJ504" s="1"/>
      <c r="AK504" s="1"/>
      <c r="AL504" s="1"/>
      <c r="AM504" s="1"/>
      <c r="AN504" s="1"/>
      <c r="AO504" s="1"/>
      <c r="AP504" s="1"/>
      <c r="AQ504" s="1"/>
      <c r="AR504" s="1"/>
      <c r="AS504" s="1"/>
      <c r="AT504" s="1"/>
      <c r="AU504" s="1"/>
      <c r="AV504" s="1"/>
      <c r="AW504" s="1"/>
      <c r="AX504" s="1"/>
      <c r="AY504" s="1"/>
      <c r="BF504" s="459" t="str">
        <f>CONCATENATE(BH504,BI504,BJ504,BK504,BL504,BM504,BN504,BI505,BJ505,BK505,BL505,BM505,BN505)</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BH504" s="409" t="s">
        <v>2003</v>
      </c>
      <c r="BI504" s="2" t="str">
        <f>X1122</f>
        <v>alienation</v>
      </c>
      <c r="BJ504" s="409" t="s">
        <v>1378</v>
      </c>
      <c r="BK504" s="2" t="str">
        <f>Z1122</f>
        <v>loneliness</v>
      </c>
      <c r="BL504" s="409" t="s">
        <v>1700</v>
      </c>
      <c r="BM504" s="2" t="str">
        <f>BE1122</f>
        <v>for freedom of movement</v>
      </c>
      <c r="BN504" s="465" t="s">
        <v>1701</v>
      </c>
      <c r="BO504" s="46"/>
    </row>
    <row r="505" spans="1:73" ht="19.95" customHeight="1">
      <c r="A505" s="199"/>
      <c r="B505" s="1299"/>
      <c r="C505" s="1299"/>
      <c r="D505" s="1299"/>
      <c r="E505" s="1299"/>
      <c r="F505" s="1299"/>
      <c r="G505" s="1299"/>
      <c r="H505" s="1299"/>
      <c r="I505" s="1299"/>
      <c r="J505" s="1299"/>
      <c r="K505" s="1299"/>
      <c r="L505" s="1299"/>
      <c r="M505" s="1299"/>
      <c r="N505" s="200"/>
      <c r="O505" s="199"/>
      <c r="P505" s="24"/>
      <c r="Q505" s="24"/>
      <c r="R505" s="398"/>
      <c r="S505" s="398"/>
      <c r="T505" s="398"/>
      <c r="U505" s="398"/>
      <c r="V505" s="398"/>
      <c r="W505" s="398"/>
      <c r="X505" s="398"/>
      <c r="Y505" s="398"/>
      <c r="Z505" s="398"/>
      <c r="AA505" s="398"/>
      <c r="AB505" s="200"/>
      <c r="AC505" s="1"/>
      <c r="AD505" s="1"/>
      <c r="AE505" s="1"/>
      <c r="AF505" s="1"/>
      <c r="AG505" s="1"/>
      <c r="AH505" s="1"/>
      <c r="AI505" s="1"/>
      <c r="AJ505" s="1"/>
      <c r="AK505" s="1"/>
      <c r="AL505" s="1"/>
      <c r="AM505" s="1"/>
      <c r="AN505" s="1"/>
      <c r="AO505" s="1"/>
      <c r="AP505" s="1"/>
      <c r="AQ505" s="1"/>
      <c r="AR505" s="1"/>
      <c r="AS505" s="1"/>
      <c r="AT505" s="1"/>
      <c r="AU505" s="1"/>
      <c r="AV505" s="1"/>
      <c r="AW505" s="1"/>
      <c r="AX505" s="1"/>
      <c r="AY505" s="1"/>
      <c r="BI505" s="2" t="str">
        <f>BE1122</f>
        <v>for freedom of movement</v>
      </c>
      <c r="BJ505" s="409" t="s">
        <v>1698</v>
      </c>
      <c r="BK505" s="2" t="str">
        <f>BG1122</f>
        <v>full inclusion</v>
      </c>
      <c r="BL505" s="409" t="s">
        <v>1699</v>
      </c>
      <c r="BM505" s="2" t="str">
        <f>BI1122</f>
        <v>self-determination</v>
      </c>
      <c r="BN505" s="465" t="s">
        <v>1838</v>
      </c>
    </row>
    <row r="506" spans="1:73" ht="19.95" customHeight="1">
      <c r="A506" s="199"/>
      <c r="B506" s="1299"/>
      <c r="C506" s="1299"/>
      <c r="D506" s="1299"/>
      <c r="E506" s="1299"/>
      <c r="F506" s="1299"/>
      <c r="G506" s="1299"/>
      <c r="H506" s="1299"/>
      <c r="I506" s="1299"/>
      <c r="J506" s="1299"/>
      <c r="K506" s="1299"/>
      <c r="L506" s="1299"/>
      <c r="M506" s="1299"/>
      <c r="N506" s="200"/>
      <c r="O506" s="199"/>
      <c r="P506" s="24"/>
      <c r="Q506" s="24"/>
      <c r="R506" s="398"/>
      <c r="S506" s="398"/>
      <c r="T506" s="398"/>
      <c r="U506" s="398"/>
      <c r="V506" s="398"/>
      <c r="W506" s="398"/>
      <c r="X506" s="398"/>
      <c r="Y506" s="398"/>
      <c r="Z506" s="398"/>
      <c r="AA506" s="398"/>
      <c r="AB506" s="200"/>
      <c r="AC506" s="1"/>
      <c r="AD506" s="1"/>
      <c r="AE506" s="1"/>
      <c r="AF506" s="1"/>
      <c r="AG506" s="1"/>
      <c r="AH506" s="1"/>
      <c r="AI506" s="1"/>
      <c r="AJ506" s="1"/>
      <c r="AK506" s="1"/>
      <c r="AL506" s="1"/>
      <c r="AM506" s="1"/>
      <c r="AN506" s="1"/>
      <c r="AO506" s="1"/>
      <c r="AP506" s="1"/>
      <c r="AQ506" s="1"/>
      <c r="AR506" s="1"/>
      <c r="AS506" s="1"/>
      <c r="AT506" s="1"/>
      <c r="AU506" s="1"/>
      <c r="AV506" s="1"/>
      <c r="AW506" s="1"/>
      <c r="AX506" s="1"/>
      <c r="AY506" s="1"/>
    </row>
    <row r="507" spans="1:73" ht="19.95" customHeight="1">
      <c r="A507" s="199"/>
      <c r="B507" s="1299"/>
      <c r="C507" s="1299"/>
      <c r="D507" s="1299"/>
      <c r="E507" s="1299"/>
      <c r="F507" s="1299"/>
      <c r="G507" s="1299"/>
      <c r="H507" s="1299"/>
      <c r="I507" s="1299"/>
      <c r="J507" s="1299"/>
      <c r="K507" s="1299"/>
      <c r="L507" s="1299"/>
      <c r="M507" s="1299"/>
      <c r="N507" s="200"/>
      <c r="O507" s="199"/>
      <c r="P507" s="24"/>
      <c r="Q507" s="24"/>
      <c r="R507" s="398"/>
      <c r="S507" s="398"/>
      <c r="T507" s="398"/>
      <c r="U507" s="398"/>
      <c r="V507" s="398"/>
      <c r="W507" s="398"/>
      <c r="X507" s="398"/>
      <c r="Y507" s="398"/>
      <c r="Z507" s="398"/>
      <c r="AA507" s="398"/>
      <c r="AB507" s="200"/>
      <c r="AC507" s="1"/>
      <c r="AD507" s="1"/>
      <c r="AE507" s="1"/>
      <c r="AF507" s="1"/>
      <c r="AG507" s="1"/>
      <c r="AH507" s="1"/>
      <c r="AI507" s="1"/>
      <c r="AJ507" s="1"/>
      <c r="AK507" s="1"/>
      <c r="AL507" s="1"/>
      <c r="AM507" s="1"/>
      <c r="AN507" s="1"/>
      <c r="AO507" s="1"/>
      <c r="AP507" s="1"/>
      <c r="AQ507" s="1"/>
      <c r="AR507" s="1"/>
      <c r="AS507" s="1"/>
      <c r="AT507" s="1"/>
      <c r="AU507" s="1"/>
      <c r="AV507" s="1"/>
      <c r="AW507" s="1"/>
      <c r="AX507" s="1"/>
      <c r="AY507" s="1"/>
    </row>
    <row r="508" spans="1:73" ht="19.95" customHeight="1">
      <c r="A508" s="199"/>
      <c r="B508" s="1299"/>
      <c r="C508" s="1299"/>
      <c r="D508" s="1299"/>
      <c r="E508" s="1299"/>
      <c r="F508" s="1299"/>
      <c r="G508" s="1299"/>
      <c r="H508" s="1299"/>
      <c r="I508" s="1299"/>
      <c r="J508" s="1299"/>
      <c r="K508" s="1299"/>
      <c r="L508" s="1299"/>
      <c r="M508" s="1299"/>
      <c r="N508" s="200"/>
      <c r="O508" s="199"/>
      <c r="P508" s="24"/>
      <c r="Q508" s="24"/>
      <c r="R508" s="398"/>
      <c r="S508" s="398"/>
      <c r="T508" s="398"/>
      <c r="U508" s="398"/>
      <c r="V508" s="398"/>
      <c r="W508" s="398"/>
      <c r="X508" s="398"/>
      <c r="Y508" s="398"/>
      <c r="Z508" s="398"/>
      <c r="AA508" s="398"/>
      <c r="AB508" s="200"/>
      <c r="AC508" s="1"/>
      <c r="AD508" s="1"/>
      <c r="AE508" s="1"/>
      <c r="AF508" s="1"/>
      <c r="AG508" s="1"/>
      <c r="AH508" s="1"/>
      <c r="AI508" s="1"/>
      <c r="AJ508" s="1"/>
      <c r="AK508" s="1"/>
      <c r="AL508" s="1"/>
      <c r="AM508" s="1"/>
      <c r="AN508" s="1"/>
      <c r="AO508" s="1"/>
      <c r="AP508" s="1"/>
      <c r="AQ508" s="1"/>
      <c r="AR508" s="1"/>
      <c r="AS508" s="1"/>
      <c r="AT508" s="1"/>
      <c r="AU508" s="1"/>
      <c r="AV508" s="1"/>
      <c r="AW508" s="1"/>
      <c r="AX508" s="1"/>
      <c r="AY508" s="1"/>
      <c r="BF508" s="595" t="str">
        <f>IF(OR($I$1094=0,$B$1124=""),BH508,BF510)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BH508" s="465"/>
    </row>
    <row r="509" spans="1:73" ht="4.95" customHeight="1">
      <c r="A509" s="199"/>
      <c r="B509" s="24"/>
      <c r="C509" s="24"/>
      <c r="D509" s="24"/>
      <c r="E509" s="24"/>
      <c r="F509" s="24"/>
      <c r="G509" s="24"/>
      <c r="H509" s="24"/>
      <c r="I509" s="24"/>
      <c r="J509" s="24"/>
      <c r="K509" s="24"/>
      <c r="L509" s="24"/>
      <c r="M509" s="24"/>
      <c r="N509" s="200"/>
      <c r="O509" s="199"/>
      <c r="P509" s="24"/>
      <c r="Q509" s="24"/>
      <c r="R509" s="398"/>
      <c r="S509" s="398"/>
      <c r="T509" s="398"/>
      <c r="U509" s="398"/>
      <c r="V509" s="398"/>
      <c r="W509" s="398"/>
      <c r="X509" s="398"/>
      <c r="Y509" s="398"/>
      <c r="Z509" s="398"/>
      <c r="AA509" s="398"/>
      <c r="AB509" s="200"/>
      <c r="AC509" s="1"/>
      <c r="AD509" s="1"/>
      <c r="AE509" s="1"/>
      <c r="AF509" s="1"/>
      <c r="AG509" s="1"/>
      <c r="AH509" s="1"/>
      <c r="AI509" s="1"/>
      <c r="AJ509" s="1"/>
      <c r="AK509" s="1"/>
      <c r="AL509" s="1"/>
      <c r="AM509" s="1"/>
      <c r="AN509" s="1"/>
      <c r="AO509" s="1"/>
      <c r="AP509" s="1"/>
      <c r="AQ509" s="1"/>
      <c r="AR509" s="1"/>
      <c r="AS509" s="1"/>
      <c r="AT509" s="1"/>
      <c r="AU509" s="1"/>
      <c r="AV509" s="1"/>
      <c r="AW509" s="1"/>
      <c r="AX509" s="1"/>
      <c r="AY509" s="1"/>
    </row>
    <row r="510" spans="1:73" ht="19.95" customHeight="1">
      <c r="A510" s="199"/>
      <c r="B510" s="1299" t="str">
        <f>BF510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C510" s="1299"/>
      <c r="D510" s="1299"/>
      <c r="E510" s="1299"/>
      <c r="F510" s="1299"/>
      <c r="G510" s="1299"/>
      <c r="H510" s="1299"/>
      <c r="I510" s="1299"/>
      <c r="J510" s="1299"/>
      <c r="K510" s="1299"/>
      <c r="L510" s="1299"/>
      <c r="M510" s="1299"/>
      <c r="N510" s="200"/>
      <c r="O510" s="199"/>
      <c r="P510" s="24"/>
      <c r="Q510" s="24"/>
      <c r="R510" s="398"/>
      <c r="S510" s="398"/>
      <c r="T510" s="398"/>
      <c r="U510" s="398"/>
      <c r="V510" s="398"/>
      <c r="W510" s="398"/>
      <c r="X510" s="398"/>
      <c r="Y510" s="398"/>
      <c r="Z510" s="398"/>
      <c r="AA510" s="398"/>
      <c r="AB510" s="200"/>
      <c r="AC510" s="1"/>
      <c r="AD510" s="1"/>
      <c r="AE510" s="1"/>
      <c r="AF510" s="1"/>
      <c r="AG510" s="1"/>
      <c r="AH510" s="1"/>
      <c r="AI510" s="1"/>
      <c r="AJ510" s="1"/>
      <c r="AK510" s="1"/>
      <c r="AL510" s="1"/>
      <c r="AM510" s="1"/>
      <c r="AN510" s="1"/>
      <c r="AO510" s="1"/>
      <c r="AP510" s="1"/>
      <c r="AQ510" s="1"/>
      <c r="AR510" s="1"/>
      <c r="AS510" s="1"/>
      <c r="AT510" s="1"/>
      <c r="AU510" s="1"/>
      <c r="AV510" s="1"/>
      <c r="AW510" s="1"/>
      <c r="AX510" s="1"/>
      <c r="AY510" s="1"/>
      <c r="BF510" s="459" t="str">
        <f>CONCATENATE(BH510,BI510,BJ510,BK510,BL510,BM510,BN510,BO510)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BH510" s="409" t="s">
        <v>1839</v>
      </c>
      <c r="BI510" s="2" t="str">
        <f>IF($BE$1122="","politically expressed",$BE$1122)</f>
        <v>for freedom of movement</v>
      </c>
      <c r="BJ510" s="465" t="s">
        <v>1697</v>
      </c>
    </row>
    <row r="511" spans="1:73" ht="19.95" customHeight="1">
      <c r="A511" s="199"/>
      <c r="B511" s="1299"/>
      <c r="C511" s="1299"/>
      <c r="D511" s="1299"/>
      <c r="E511" s="1299"/>
      <c r="F511" s="1299"/>
      <c r="G511" s="1299"/>
      <c r="H511" s="1299"/>
      <c r="I511" s="1299"/>
      <c r="J511" s="1299"/>
      <c r="K511" s="1299"/>
      <c r="L511" s="1299"/>
      <c r="M511" s="1299"/>
      <c r="N511" s="200"/>
      <c r="O511" s="199"/>
      <c r="P511" s="24"/>
      <c r="Q511" s="24"/>
      <c r="R511" s="398"/>
      <c r="S511" s="398"/>
      <c r="T511" s="398"/>
      <c r="U511" s="398"/>
      <c r="V511" s="398"/>
      <c r="W511" s="398"/>
      <c r="X511" s="398"/>
      <c r="Y511" s="398"/>
      <c r="Z511" s="398"/>
      <c r="AA511" s="398"/>
      <c r="AB511" s="200"/>
      <c r="AC511" s="1"/>
      <c r="AD511" s="1"/>
      <c r="AE511" s="1"/>
      <c r="AF511" s="1"/>
      <c r="AG511" s="1"/>
      <c r="AH511" s="1"/>
      <c r="AI511" s="1"/>
      <c r="AJ511" s="1"/>
      <c r="AK511" s="1"/>
      <c r="AL511" s="1"/>
      <c r="AM511" s="1"/>
      <c r="AN511" s="1"/>
      <c r="AO511" s="1"/>
      <c r="AP511" s="1"/>
      <c r="AQ511" s="1"/>
      <c r="AR511" s="1"/>
      <c r="AS511" s="1"/>
      <c r="AT511" s="1"/>
      <c r="AU511" s="1"/>
      <c r="AV511" s="1"/>
      <c r="AW511" s="1"/>
      <c r="AX511" s="1"/>
      <c r="AY511" s="1"/>
    </row>
    <row r="512" spans="1:73" ht="19.95" customHeight="1">
      <c r="A512" s="199"/>
      <c r="B512" s="1299"/>
      <c r="C512" s="1299"/>
      <c r="D512" s="1299"/>
      <c r="E512" s="1299"/>
      <c r="F512" s="1299"/>
      <c r="G512" s="1299"/>
      <c r="H512" s="1299"/>
      <c r="I512" s="1299"/>
      <c r="J512" s="1299"/>
      <c r="K512" s="1299"/>
      <c r="L512" s="1299"/>
      <c r="M512" s="1299"/>
      <c r="N512" s="200"/>
      <c r="O512" s="199"/>
      <c r="P512" s="24"/>
      <c r="Q512" s="24"/>
      <c r="R512" s="398"/>
      <c r="S512" s="398"/>
      <c r="T512" s="398"/>
      <c r="U512" s="398"/>
      <c r="V512" s="398"/>
      <c r="W512" s="398"/>
      <c r="X512" s="398"/>
      <c r="Y512" s="398"/>
      <c r="Z512" s="398"/>
      <c r="AA512" s="398"/>
      <c r="AB512" s="200"/>
      <c r="AC512" s="1"/>
      <c r="AD512" s="1"/>
      <c r="AE512" s="1"/>
      <c r="AF512" s="1"/>
      <c r="AG512" s="1"/>
      <c r="AH512" s="1"/>
      <c r="AI512" s="1"/>
      <c r="AJ512" s="1"/>
      <c r="AK512" s="1"/>
      <c r="AL512" s="1"/>
      <c r="AM512" s="1"/>
      <c r="AN512" s="1"/>
      <c r="AO512" s="1"/>
      <c r="AP512" s="1"/>
      <c r="AQ512" s="1"/>
      <c r="AR512" s="1"/>
      <c r="AS512" s="1"/>
      <c r="AT512" s="1"/>
      <c r="AU512" s="1"/>
      <c r="AV512" s="1"/>
      <c r="AW512" s="1"/>
      <c r="AX512" s="1"/>
      <c r="AY512" s="1"/>
    </row>
    <row r="513" spans="1:62" ht="19.95" customHeight="1">
      <c r="A513" s="199"/>
      <c r="B513" s="1299"/>
      <c r="C513" s="1299"/>
      <c r="D513" s="1299"/>
      <c r="E513" s="1299"/>
      <c r="F513" s="1299"/>
      <c r="G513" s="1299"/>
      <c r="H513" s="1299"/>
      <c r="I513" s="1299"/>
      <c r="J513" s="1299"/>
      <c r="K513" s="1299"/>
      <c r="L513" s="1299"/>
      <c r="M513" s="1299"/>
      <c r="N513" s="200"/>
      <c r="O513" s="199"/>
      <c r="P513" s="24"/>
      <c r="Q513" s="24"/>
      <c r="R513" s="398"/>
      <c r="S513" s="398"/>
      <c r="T513" s="398"/>
      <c r="U513" s="398"/>
      <c r="V513" s="398"/>
      <c r="W513" s="398"/>
      <c r="X513" s="398"/>
      <c r="Y513" s="398"/>
      <c r="Z513" s="398"/>
      <c r="AA513" s="398"/>
      <c r="AB513" s="200"/>
      <c r="AC513" s="1"/>
      <c r="AD513" s="1"/>
      <c r="AE513" s="1"/>
      <c r="AF513" s="1"/>
      <c r="AG513" s="1"/>
      <c r="AH513" s="1"/>
      <c r="AI513" s="1"/>
      <c r="AJ513" s="1"/>
      <c r="AK513" s="1"/>
      <c r="AL513" s="1"/>
      <c r="AM513" s="1"/>
      <c r="AN513" s="1"/>
      <c r="AO513" s="1"/>
      <c r="AP513" s="1"/>
      <c r="AQ513" s="1"/>
      <c r="AR513" s="1"/>
      <c r="AS513" s="1"/>
      <c r="AT513" s="1"/>
      <c r="AU513" s="1"/>
      <c r="AV513" s="1"/>
      <c r="AW513" s="1"/>
      <c r="AX513" s="1"/>
      <c r="AY513" s="1"/>
      <c r="BF513" s="595" t="str">
        <f>IF(OR($I$1094=0,$I$1096=0,$B$1124=""),BH513,BF515)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BH513" s="465"/>
    </row>
    <row r="514" spans="1:62" ht="4.95" customHeight="1">
      <c r="A514" s="199"/>
      <c r="B514" s="24"/>
      <c r="C514" s="24"/>
      <c r="D514" s="24"/>
      <c r="E514" s="24"/>
      <c r="F514" s="24"/>
      <c r="G514" s="24"/>
      <c r="H514" s="24"/>
      <c r="I514" s="24"/>
      <c r="J514" s="24"/>
      <c r="K514" s="24"/>
      <c r="L514" s="24"/>
      <c r="M514" s="24"/>
      <c r="N514" s="200"/>
      <c r="O514" s="199"/>
      <c r="P514" s="24"/>
      <c r="Q514" s="24"/>
      <c r="R514" s="398"/>
      <c r="S514" s="398"/>
      <c r="T514" s="398"/>
      <c r="U514" s="398"/>
      <c r="V514" s="398"/>
      <c r="W514" s="398"/>
      <c r="X514" s="398"/>
      <c r="Y514" s="398"/>
      <c r="Z514" s="398"/>
      <c r="AA514" s="398"/>
      <c r="AB514" s="200"/>
      <c r="AC514" s="1"/>
      <c r="AD514" s="1"/>
      <c r="AE514" s="1"/>
      <c r="AF514" s="1"/>
      <c r="AG514" s="1"/>
      <c r="AH514" s="1"/>
      <c r="AI514" s="1"/>
      <c r="AJ514" s="1"/>
      <c r="AK514" s="1"/>
      <c r="AL514" s="1"/>
      <c r="AM514" s="1"/>
      <c r="AN514" s="1"/>
      <c r="AO514" s="1"/>
      <c r="AP514" s="1"/>
      <c r="AQ514" s="1"/>
      <c r="AR514" s="1"/>
      <c r="AS514" s="1"/>
      <c r="AT514" s="1"/>
      <c r="AU514" s="1"/>
      <c r="AV514" s="1"/>
      <c r="AW514" s="1"/>
      <c r="AX514" s="1"/>
      <c r="AY514" s="1"/>
    </row>
    <row r="515" spans="1:62" ht="19.95" customHeight="1">
      <c r="A515" s="199"/>
      <c r="B515" s="1299" t="str">
        <f>BF515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C515" s="1299"/>
      <c r="D515" s="1299"/>
      <c r="E515" s="1299"/>
      <c r="F515" s="1299"/>
      <c r="G515" s="1299"/>
      <c r="H515" s="1299"/>
      <c r="I515" s="1299"/>
      <c r="J515" s="1299"/>
      <c r="K515" s="1299"/>
      <c r="L515" s="1299"/>
      <c r="M515" s="1299"/>
      <c r="N515" s="200"/>
      <c r="O515" s="199"/>
      <c r="P515" s="24"/>
      <c r="Q515" s="24"/>
      <c r="R515" s="398"/>
      <c r="S515" s="398"/>
      <c r="T515" s="398"/>
      <c r="U515" s="398"/>
      <c r="V515" s="398"/>
      <c r="W515" s="398"/>
      <c r="X515" s="398"/>
      <c r="Y515" s="398"/>
      <c r="Z515" s="398"/>
      <c r="AA515" s="398"/>
      <c r="AB515" s="200"/>
      <c r="AC515" s="1"/>
      <c r="AD515" s="1"/>
      <c r="AE515" s="1"/>
      <c r="AF515" s="1"/>
      <c r="AG515" s="1"/>
      <c r="AH515" s="1"/>
      <c r="AI515" s="1"/>
      <c r="AJ515" s="1"/>
      <c r="AK515" s="1"/>
      <c r="AL515" s="1"/>
      <c r="AM515" s="1"/>
      <c r="AN515" s="1"/>
      <c r="AO515" s="1"/>
      <c r="AP515" s="1"/>
      <c r="AQ515" s="1"/>
      <c r="AR515" s="1"/>
      <c r="AS515" s="1"/>
      <c r="AT515" s="1"/>
      <c r="AU515" s="1"/>
      <c r="AV515" s="1"/>
      <c r="AW515" s="1"/>
      <c r="AX515" s="1"/>
      <c r="AY515" s="1"/>
      <c r="BF515" s="459" t="str">
        <f>CONCATENATE(BH515,BI515,BJ515,BK515,BL515,BM515,BN515,BO515)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BH515" s="409" t="s">
        <v>1695</v>
      </c>
      <c r="BI515" s="2" t="str">
        <f>IF($D$1124="","politicized",$D$1124)</f>
        <v>immigration</v>
      </c>
      <c r="BJ515" s="465" t="s">
        <v>1696</v>
      </c>
    </row>
    <row r="516" spans="1:62" ht="19.95" customHeight="1">
      <c r="A516" s="199"/>
      <c r="B516" s="1299"/>
      <c r="C516" s="1299"/>
      <c r="D516" s="1299"/>
      <c r="E516" s="1299"/>
      <c r="F516" s="1299"/>
      <c r="G516" s="1299"/>
      <c r="H516" s="1299"/>
      <c r="I516" s="1299"/>
      <c r="J516" s="1299"/>
      <c r="K516" s="1299"/>
      <c r="L516" s="1299"/>
      <c r="M516" s="1299"/>
      <c r="N516" s="200"/>
      <c r="O516" s="199"/>
      <c r="P516" s="24"/>
      <c r="Q516" s="24"/>
      <c r="R516" s="398"/>
      <c r="S516" s="398"/>
      <c r="T516" s="398"/>
      <c r="U516" s="398"/>
      <c r="V516" s="398"/>
      <c r="W516" s="398"/>
      <c r="X516" s="398"/>
      <c r="Y516" s="398"/>
      <c r="Z516" s="398"/>
      <c r="AA516" s="398"/>
      <c r="AB516" s="200"/>
      <c r="AC516" s="1"/>
      <c r="AD516" s="1"/>
      <c r="AE516" s="1"/>
      <c r="AF516" s="1"/>
      <c r="AG516" s="1"/>
      <c r="AH516" s="1"/>
      <c r="AI516" s="1"/>
      <c r="AJ516" s="1"/>
      <c r="AK516" s="1"/>
      <c r="AL516" s="1"/>
      <c r="AM516" s="1"/>
      <c r="AN516" s="1"/>
      <c r="AO516" s="1"/>
      <c r="AP516" s="1"/>
      <c r="AQ516" s="1"/>
      <c r="AR516" s="1"/>
      <c r="AS516" s="1"/>
      <c r="AT516" s="1"/>
      <c r="AU516" s="1"/>
      <c r="AV516" s="1"/>
      <c r="AW516" s="1"/>
      <c r="AX516" s="1"/>
      <c r="AY516" s="1"/>
    </row>
    <row r="517" spans="1:62" ht="19.95" customHeight="1">
      <c r="A517" s="199"/>
      <c r="B517" s="1299"/>
      <c r="C517" s="1299"/>
      <c r="D517" s="1299"/>
      <c r="E517" s="1299"/>
      <c r="F517" s="1299"/>
      <c r="G517" s="1299"/>
      <c r="H517" s="1299"/>
      <c r="I517" s="1299"/>
      <c r="J517" s="1299"/>
      <c r="K517" s="1299"/>
      <c r="L517" s="1299"/>
      <c r="M517" s="1299"/>
      <c r="N517" s="200"/>
      <c r="O517" s="199"/>
      <c r="P517" s="24"/>
      <c r="Q517" s="24"/>
      <c r="R517" s="398"/>
      <c r="S517" s="398"/>
      <c r="T517" s="398"/>
      <c r="U517" s="398"/>
      <c r="V517" s="398"/>
      <c r="W517" s="398"/>
      <c r="X517" s="398"/>
      <c r="Y517" s="398"/>
      <c r="Z517" s="398"/>
      <c r="AA517" s="398"/>
      <c r="AB517" s="200"/>
      <c r="AC517" s="1"/>
      <c r="AD517" s="1"/>
      <c r="AE517" s="1"/>
      <c r="AF517" s="1"/>
      <c r="AG517" s="1"/>
      <c r="AH517" s="1"/>
      <c r="AI517" s="1"/>
      <c r="AJ517" s="1"/>
      <c r="AK517" s="1"/>
      <c r="AL517" s="1"/>
      <c r="AM517" s="1"/>
      <c r="AN517" s="1"/>
      <c r="AO517" s="1"/>
      <c r="AP517" s="1"/>
      <c r="AQ517" s="1"/>
      <c r="AR517" s="1"/>
      <c r="AS517" s="1"/>
      <c r="AT517" s="1"/>
      <c r="AU517" s="1"/>
      <c r="AV517" s="1"/>
      <c r="AW517" s="1"/>
      <c r="AX517" s="1"/>
      <c r="AY517" s="1"/>
    </row>
    <row r="518" spans="1:62" ht="19.95" customHeight="1">
      <c r="A518" s="199"/>
      <c r="B518" s="1299"/>
      <c r="C518" s="1299"/>
      <c r="D518" s="1299"/>
      <c r="E518" s="1299"/>
      <c r="F518" s="1299"/>
      <c r="G518" s="1299"/>
      <c r="H518" s="1299"/>
      <c r="I518" s="1299"/>
      <c r="J518" s="1299"/>
      <c r="K518" s="1299"/>
      <c r="L518" s="1299"/>
      <c r="M518" s="1299"/>
      <c r="N518" s="200"/>
      <c r="O518" s="199"/>
      <c r="P518" s="24"/>
      <c r="Q518" s="24"/>
      <c r="R518" s="398"/>
      <c r="S518" s="398"/>
      <c r="T518" s="398"/>
      <c r="U518" s="398"/>
      <c r="V518" s="398"/>
      <c r="W518" s="398"/>
      <c r="X518" s="398"/>
      <c r="Y518" s="398"/>
      <c r="Z518" s="398"/>
      <c r="AA518" s="398"/>
      <c r="AB518" s="200"/>
      <c r="AC518" s="1"/>
      <c r="AD518" s="1"/>
      <c r="AE518" s="1"/>
      <c r="AF518" s="1"/>
      <c r="AG518" s="1"/>
      <c r="AH518" s="1"/>
      <c r="AI518" s="1"/>
      <c r="AJ518" s="1"/>
      <c r="AK518" s="1"/>
      <c r="AL518" s="1"/>
      <c r="AM518" s="1"/>
      <c r="AN518" s="1"/>
      <c r="AO518" s="1"/>
      <c r="AP518" s="1"/>
      <c r="AQ518" s="1"/>
      <c r="AR518" s="1"/>
      <c r="AS518" s="1"/>
      <c r="AT518" s="1"/>
      <c r="AU518" s="1"/>
      <c r="AV518" s="1"/>
      <c r="AW518" s="1"/>
      <c r="AX518" s="1"/>
      <c r="AY518" s="1"/>
    </row>
    <row r="519" spans="1:62" ht="19.95" customHeight="1">
      <c r="A519" s="199"/>
      <c r="B519" s="1299"/>
      <c r="C519" s="1299"/>
      <c r="D519" s="1299"/>
      <c r="E519" s="1299"/>
      <c r="F519" s="1299"/>
      <c r="G519" s="1299"/>
      <c r="H519" s="1299"/>
      <c r="I519" s="1299"/>
      <c r="J519" s="1299"/>
      <c r="K519" s="1299"/>
      <c r="L519" s="1299"/>
      <c r="M519" s="1299"/>
      <c r="N519" s="200"/>
      <c r="O519" s="199"/>
      <c r="P519" s="24"/>
      <c r="Q519" s="24"/>
      <c r="R519" s="398"/>
      <c r="S519" s="398"/>
      <c r="T519" s="398"/>
      <c r="U519" s="398"/>
      <c r="V519" s="398"/>
      <c r="W519" s="398"/>
      <c r="X519" s="398"/>
      <c r="Y519" s="398"/>
      <c r="Z519" s="398"/>
      <c r="AA519" s="398"/>
      <c r="AB519" s="200"/>
      <c r="AC519" s="1"/>
      <c r="AD519" s="1"/>
      <c r="AE519" s="1"/>
      <c r="AF519" s="1"/>
      <c r="AG519" s="1"/>
      <c r="AH519" s="1"/>
      <c r="AI519" s="1"/>
      <c r="AJ519" s="1"/>
      <c r="AK519" s="1"/>
      <c r="AL519" s="1"/>
      <c r="AM519" s="1"/>
      <c r="AN519" s="1"/>
      <c r="AO519" s="1"/>
      <c r="AP519" s="1"/>
      <c r="AQ519" s="1"/>
      <c r="AR519" s="1"/>
      <c r="AS519" s="1"/>
      <c r="AT519" s="1"/>
      <c r="AU519" s="1"/>
      <c r="AV519" s="1"/>
      <c r="AW519" s="1"/>
      <c r="AX519" s="1"/>
      <c r="AY519" s="1"/>
    </row>
    <row r="520" spans="1:62" ht="19.95" customHeight="1">
      <c r="A520" s="199"/>
      <c r="B520" s="1299"/>
      <c r="C520" s="1299"/>
      <c r="D520" s="1299"/>
      <c r="E520" s="1299"/>
      <c r="F520" s="1299"/>
      <c r="G520" s="1299"/>
      <c r="H520" s="1299"/>
      <c r="I520" s="1299"/>
      <c r="J520" s="1299"/>
      <c r="K520" s="1299"/>
      <c r="L520" s="1299"/>
      <c r="M520" s="1299"/>
      <c r="N520" s="200"/>
      <c r="O520" s="199"/>
      <c r="P520" s="24"/>
      <c r="Q520" s="24"/>
      <c r="R520" s="398"/>
      <c r="S520" s="398"/>
      <c r="T520" s="398"/>
      <c r="U520" s="398"/>
      <c r="V520" s="398"/>
      <c r="W520" s="398"/>
      <c r="X520" s="398"/>
      <c r="Y520" s="398"/>
      <c r="Z520" s="398"/>
      <c r="AA520" s="398"/>
      <c r="AB520" s="200"/>
      <c r="AC520" s="1"/>
      <c r="AD520" s="1"/>
      <c r="AE520" s="1"/>
      <c r="AF520" s="1"/>
      <c r="AG520" s="1"/>
      <c r="AH520" s="1"/>
      <c r="AI520" s="1"/>
      <c r="AJ520" s="1"/>
      <c r="AK520" s="1"/>
      <c r="AL520" s="1"/>
      <c r="AM520" s="1"/>
      <c r="AN520" s="1"/>
      <c r="AO520" s="1"/>
      <c r="AP520" s="1"/>
      <c r="AQ520" s="1"/>
      <c r="AR520" s="1"/>
      <c r="AS520" s="1"/>
      <c r="AT520" s="1"/>
      <c r="AU520" s="1"/>
      <c r="AV520" s="1"/>
      <c r="AW520" s="1"/>
      <c r="AX520" s="1"/>
      <c r="AY520" s="1"/>
    </row>
    <row r="521" spans="1:62" ht="4.95" customHeight="1">
      <c r="A521" s="199"/>
      <c r="B521" s="24"/>
      <c r="C521" s="24"/>
      <c r="D521" s="24"/>
      <c r="E521" s="24"/>
      <c r="F521" s="24"/>
      <c r="G521" s="24"/>
      <c r="H521" s="24"/>
      <c r="I521" s="24"/>
      <c r="J521" s="24"/>
      <c r="K521" s="24"/>
      <c r="L521" s="24"/>
      <c r="M521" s="24"/>
      <c r="N521" s="200"/>
      <c r="O521" s="199"/>
      <c r="P521" s="24"/>
      <c r="Q521" s="24"/>
      <c r="R521" s="398"/>
      <c r="S521" s="398"/>
      <c r="T521" s="398"/>
      <c r="U521" s="398"/>
      <c r="V521" s="398"/>
      <c r="W521" s="398"/>
      <c r="X521" s="398"/>
      <c r="Y521" s="398"/>
      <c r="Z521" s="398"/>
      <c r="AA521" s="398"/>
      <c r="AB521" s="200"/>
      <c r="AC521" s="1"/>
      <c r="AD521" s="1"/>
      <c r="AE521" s="1"/>
      <c r="AF521" s="1"/>
      <c r="AG521" s="1"/>
      <c r="AH521" s="1"/>
      <c r="AI521" s="1"/>
      <c r="AJ521" s="1"/>
      <c r="AK521" s="1"/>
      <c r="AL521" s="1"/>
      <c r="AM521" s="1"/>
      <c r="AN521" s="1"/>
      <c r="AO521" s="1"/>
      <c r="AP521" s="1"/>
      <c r="AQ521" s="1"/>
      <c r="AR521" s="1"/>
      <c r="AS521" s="1"/>
      <c r="AT521" s="1"/>
      <c r="AU521" s="1"/>
      <c r="AV521" s="1"/>
      <c r="AW521" s="1"/>
      <c r="AX521" s="1"/>
      <c r="AY521" s="1"/>
    </row>
    <row r="522" spans="1:62" ht="19.95" customHeight="1">
      <c r="A522" s="199"/>
      <c r="B522" s="24"/>
      <c r="C522" s="24"/>
      <c r="D522" s="24"/>
      <c r="E522" s="24"/>
      <c r="F522" s="24"/>
      <c r="G522" s="24"/>
      <c r="H522" s="24"/>
      <c r="I522" s="24"/>
      <c r="J522" s="24"/>
      <c r="K522" s="24"/>
      <c r="L522" s="24"/>
      <c r="M522" s="24"/>
      <c r="N522" s="200"/>
      <c r="O522" s="199"/>
      <c r="P522" s="24"/>
      <c r="Q522" s="24"/>
      <c r="R522" s="398"/>
      <c r="S522" s="398"/>
      <c r="T522" s="398"/>
      <c r="U522" s="398"/>
      <c r="V522" s="398"/>
      <c r="W522" s="398"/>
      <c r="X522" s="398"/>
      <c r="Y522" s="398"/>
      <c r="Z522" s="398"/>
      <c r="AA522" s="398"/>
      <c r="AB522" s="200"/>
      <c r="AC522" s="1"/>
      <c r="AD522" s="1"/>
      <c r="AE522" s="1"/>
      <c r="AF522" s="1"/>
      <c r="AG522" s="1"/>
      <c r="AH522" s="1"/>
      <c r="AI522" s="1"/>
      <c r="AJ522" s="1"/>
      <c r="AK522" s="1"/>
      <c r="AL522" s="1"/>
      <c r="AM522" s="1"/>
      <c r="AN522" s="1"/>
      <c r="AO522" s="1"/>
      <c r="AP522" s="1"/>
      <c r="AQ522" s="1"/>
      <c r="AR522" s="1"/>
      <c r="AS522" s="1"/>
      <c r="AT522" s="1"/>
      <c r="AU522" s="1"/>
      <c r="AV522" s="1"/>
      <c r="AW522" s="1"/>
      <c r="AX522" s="1"/>
      <c r="AY522" s="1"/>
    </row>
    <row r="523" spans="1:62" ht="19.95" customHeight="1">
      <c r="A523" s="199"/>
      <c r="B523" s="24"/>
      <c r="C523" s="24"/>
      <c r="D523" s="24"/>
      <c r="E523" s="24"/>
      <c r="F523" s="24"/>
      <c r="G523" s="24"/>
      <c r="H523" s="24"/>
      <c r="I523" s="24"/>
      <c r="J523" s="24"/>
      <c r="K523" s="24"/>
      <c r="L523" s="24"/>
      <c r="M523" s="24"/>
      <c r="N523" s="200"/>
      <c r="O523" s="199"/>
      <c r="P523" s="24"/>
      <c r="Q523" s="24"/>
      <c r="R523" s="398"/>
      <c r="S523" s="398"/>
      <c r="T523" s="398"/>
      <c r="U523" s="398"/>
      <c r="V523" s="398"/>
      <c r="W523" s="398"/>
      <c r="X523" s="398"/>
      <c r="Y523" s="398"/>
      <c r="Z523" s="398"/>
      <c r="AA523" s="398"/>
      <c r="AB523" s="200"/>
      <c r="AC523" s="1"/>
      <c r="AD523" s="1"/>
      <c r="AE523" s="1"/>
      <c r="AF523" s="1"/>
      <c r="AG523" s="1"/>
      <c r="AH523" s="1"/>
      <c r="AI523" s="1"/>
      <c r="AJ523" s="1"/>
      <c r="AK523" s="1"/>
      <c r="AL523" s="1"/>
      <c r="AM523" s="1"/>
      <c r="AN523" s="1"/>
      <c r="AO523" s="1"/>
      <c r="AP523" s="1"/>
      <c r="AQ523" s="1"/>
      <c r="AR523" s="1"/>
      <c r="AS523" s="1"/>
      <c r="AT523" s="1"/>
      <c r="AU523" s="1"/>
      <c r="AV523" s="1"/>
      <c r="AW523" s="1"/>
      <c r="AX523" s="1"/>
      <c r="AY523" s="1"/>
    </row>
    <row r="524" spans="1:62" ht="19.95" customHeight="1">
      <c r="A524" s="199"/>
      <c r="B524" s="24"/>
      <c r="C524" s="24"/>
      <c r="D524" s="24"/>
      <c r="E524" s="24"/>
      <c r="F524" s="24"/>
      <c r="G524" s="24"/>
      <c r="H524" s="24"/>
      <c r="I524" s="24"/>
      <c r="J524" s="24"/>
      <c r="K524" s="24"/>
      <c r="L524" s="24"/>
      <c r="M524" s="24"/>
      <c r="N524" s="200"/>
      <c r="O524" s="199"/>
      <c r="P524" s="24"/>
      <c r="Q524" s="24"/>
      <c r="R524" s="398"/>
      <c r="S524" s="398"/>
      <c r="T524" s="398"/>
      <c r="U524" s="398"/>
      <c r="V524" s="398"/>
      <c r="W524" s="398"/>
      <c r="X524" s="398"/>
      <c r="Y524" s="398"/>
      <c r="Z524" s="398"/>
      <c r="AA524" s="398"/>
      <c r="AB524" s="200"/>
      <c r="AC524" s="1"/>
      <c r="AD524" s="1"/>
      <c r="AE524" s="1"/>
      <c r="AF524" s="1"/>
      <c r="AG524" s="1"/>
      <c r="AH524" s="1"/>
      <c r="AI524" s="1"/>
      <c r="AJ524" s="1"/>
      <c r="AK524" s="1"/>
      <c r="AL524" s="1"/>
      <c r="AM524" s="1"/>
      <c r="AN524" s="1"/>
      <c r="AO524" s="1"/>
      <c r="AP524" s="1"/>
      <c r="AQ524" s="1"/>
      <c r="AR524" s="1"/>
      <c r="AS524" s="1"/>
      <c r="AT524" s="1"/>
      <c r="AU524" s="1"/>
      <c r="AV524" s="1"/>
      <c r="AW524" s="1"/>
      <c r="AX524" s="1"/>
      <c r="AY524" s="1"/>
    </row>
    <row r="525" spans="1:62" ht="19.95" customHeight="1">
      <c r="A525" s="199"/>
      <c r="B525" s="24"/>
      <c r="C525" s="24"/>
      <c r="D525" s="24"/>
      <c r="E525" s="24"/>
      <c r="F525" s="24"/>
      <c r="G525" s="24"/>
      <c r="H525" s="24"/>
      <c r="I525" s="24"/>
      <c r="J525" s="24"/>
      <c r="K525" s="24"/>
      <c r="L525" s="24"/>
      <c r="M525" s="24"/>
      <c r="N525" s="200"/>
      <c r="O525" s="199"/>
      <c r="P525" s="24"/>
      <c r="Q525" s="24"/>
      <c r="R525" s="398"/>
      <c r="S525" s="398"/>
      <c r="T525" s="398"/>
      <c r="U525" s="398"/>
      <c r="V525" s="398"/>
      <c r="W525" s="398"/>
      <c r="X525" s="398"/>
      <c r="Y525" s="398"/>
      <c r="Z525" s="398"/>
      <c r="AA525" s="398"/>
      <c r="AB525" s="200"/>
      <c r="AC525" s="1"/>
      <c r="AD525" s="1"/>
      <c r="AE525" s="1"/>
      <c r="AF525" s="1"/>
      <c r="AG525" s="1"/>
      <c r="AH525" s="1"/>
      <c r="AI525" s="1"/>
      <c r="AJ525" s="1"/>
      <c r="AK525" s="1"/>
      <c r="AL525" s="1"/>
      <c r="AM525" s="1"/>
      <c r="AN525" s="1"/>
      <c r="AO525" s="1"/>
      <c r="AP525" s="1"/>
      <c r="AQ525" s="1"/>
      <c r="AR525" s="1"/>
      <c r="AS525" s="1"/>
      <c r="AT525" s="1"/>
      <c r="AU525" s="1"/>
      <c r="AV525" s="1"/>
      <c r="AW525" s="1"/>
      <c r="AX525" s="1"/>
      <c r="AY525" s="1"/>
    </row>
    <row r="526" spans="1:62" ht="19.95" customHeight="1">
      <c r="A526" s="199"/>
      <c r="B526" s="24"/>
      <c r="C526" s="24"/>
      <c r="D526" s="24"/>
      <c r="E526" s="24"/>
      <c r="F526" s="24"/>
      <c r="G526" s="24"/>
      <c r="H526" s="24"/>
      <c r="I526" s="24"/>
      <c r="J526" s="24"/>
      <c r="K526" s="24"/>
      <c r="L526" s="24"/>
      <c r="M526" s="24"/>
      <c r="N526" s="200"/>
      <c r="O526" s="199"/>
      <c r="P526" s="24"/>
      <c r="Q526" s="24"/>
      <c r="R526" s="398"/>
      <c r="S526" s="398"/>
      <c r="T526" s="398"/>
      <c r="U526" s="398"/>
      <c r="V526" s="398"/>
      <c r="W526" s="398"/>
      <c r="X526" s="398"/>
      <c r="Y526" s="398"/>
      <c r="Z526" s="398"/>
      <c r="AA526" s="398"/>
      <c r="AB526" s="200"/>
      <c r="AC526" s="1"/>
      <c r="AD526" s="1"/>
      <c r="AE526" s="1"/>
      <c r="AF526" s="1"/>
      <c r="AG526" s="1"/>
      <c r="AH526" s="1"/>
      <c r="AI526" s="1"/>
      <c r="AJ526" s="1"/>
      <c r="AK526" s="1"/>
      <c r="AL526" s="1"/>
      <c r="AM526" s="1"/>
      <c r="AN526" s="1"/>
      <c r="AO526" s="1"/>
      <c r="AP526" s="1"/>
      <c r="AQ526" s="1"/>
      <c r="AR526" s="1"/>
      <c r="AS526" s="1"/>
      <c r="AT526" s="1"/>
      <c r="AU526" s="1"/>
      <c r="AV526" s="1"/>
      <c r="AW526" s="1"/>
      <c r="AX526" s="1"/>
      <c r="AY526" s="1"/>
    </row>
    <row r="527" spans="1:62" ht="19.95" customHeight="1">
      <c r="A527" s="199"/>
      <c r="B527" s="24"/>
      <c r="C527" s="24"/>
      <c r="D527" s="24"/>
      <c r="E527" s="24"/>
      <c r="F527" s="24"/>
      <c r="G527" s="24"/>
      <c r="H527" s="24"/>
      <c r="I527" s="24"/>
      <c r="J527" s="24"/>
      <c r="K527" s="24"/>
      <c r="L527" s="24"/>
      <c r="M527" s="24"/>
      <c r="N527" s="200"/>
      <c r="O527" s="199"/>
      <c r="P527" s="24"/>
      <c r="Q527" s="24"/>
      <c r="R527" s="398"/>
      <c r="S527" s="398"/>
      <c r="T527" s="398"/>
      <c r="U527" s="398"/>
      <c r="V527" s="398"/>
      <c r="W527" s="398"/>
      <c r="X527" s="398"/>
      <c r="Y527" s="398"/>
      <c r="Z527" s="398"/>
      <c r="AA527" s="398"/>
      <c r="AB527" s="200"/>
      <c r="AC527" s="1"/>
      <c r="AD527" s="1"/>
      <c r="AE527" s="1"/>
      <c r="AF527" s="1"/>
      <c r="AG527" s="1"/>
      <c r="AH527" s="1"/>
      <c r="AI527" s="1"/>
      <c r="AJ527" s="1"/>
      <c r="AK527" s="1"/>
      <c r="AL527" s="1"/>
      <c r="AM527" s="1"/>
      <c r="AN527" s="1"/>
      <c r="AO527" s="1"/>
      <c r="AP527" s="1"/>
      <c r="AQ527" s="1"/>
      <c r="AR527" s="1"/>
      <c r="AS527" s="1"/>
      <c r="AT527" s="1"/>
      <c r="AU527" s="1"/>
      <c r="AV527" s="1"/>
      <c r="AW527" s="1"/>
      <c r="AX527" s="1"/>
      <c r="AY527" s="1"/>
    </row>
    <row r="528" spans="1:62" ht="19.95" customHeight="1">
      <c r="A528" s="199"/>
      <c r="B528" s="24"/>
      <c r="C528" s="24"/>
      <c r="D528" s="24"/>
      <c r="E528" s="24"/>
      <c r="F528" s="24"/>
      <c r="G528" s="24"/>
      <c r="H528" s="24"/>
      <c r="I528" s="24"/>
      <c r="J528" s="24"/>
      <c r="K528" s="24"/>
      <c r="L528" s="24"/>
      <c r="M528" s="24"/>
      <c r="N528" s="200"/>
      <c r="O528" s="199"/>
      <c r="P528" s="24"/>
      <c r="Q528" s="24"/>
      <c r="R528" s="398"/>
      <c r="S528" s="398"/>
      <c r="T528" s="398"/>
      <c r="U528" s="398"/>
      <c r="V528" s="398"/>
      <c r="W528" s="398"/>
      <c r="X528" s="398"/>
      <c r="Y528" s="398"/>
      <c r="Z528" s="398"/>
      <c r="AA528" s="398"/>
      <c r="AB528" s="200"/>
      <c r="AC528" s="1"/>
      <c r="AD528" s="1"/>
      <c r="AE528" s="1"/>
      <c r="AF528" s="1"/>
      <c r="AG528" s="1"/>
      <c r="AH528" s="1"/>
      <c r="AI528" s="1"/>
      <c r="AJ528" s="1"/>
      <c r="AK528" s="1"/>
      <c r="AL528" s="1"/>
      <c r="AM528" s="1"/>
      <c r="AN528" s="1"/>
      <c r="AO528" s="1"/>
      <c r="AP528" s="1"/>
      <c r="AQ528" s="1"/>
      <c r="AR528" s="1"/>
      <c r="AS528" s="1"/>
      <c r="AT528" s="1"/>
      <c r="AU528" s="1"/>
      <c r="AV528" s="1"/>
      <c r="AW528" s="1"/>
      <c r="AX528" s="1"/>
      <c r="AY528" s="1"/>
    </row>
    <row r="529" spans="1:51" ht="19.95" customHeight="1">
      <c r="A529" s="199"/>
      <c r="B529" s="24"/>
      <c r="C529" s="24"/>
      <c r="D529" s="24"/>
      <c r="E529" s="24"/>
      <c r="F529" s="24"/>
      <c r="G529" s="24"/>
      <c r="H529" s="24"/>
      <c r="I529" s="24"/>
      <c r="J529" s="24"/>
      <c r="K529" s="24"/>
      <c r="L529" s="24"/>
      <c r="M529" s="24"/>
      <c r="N529" s="200"/>
      <c r="O529" s="199"/>
      <c r="P529" s="24"/>
      <c r="Q529" s="24"/>
      <c r="R529" s="398"/>
      <c r="S529" s="398"/>
      <c r="T529" s="398"/>
      <c r="U529" s="398"/>
      <c r="V529" s="398"/>
      <c r="W529" s="398"/>
      <c r="X529" s="398"/>
      <c r="Y529" s="398"/>
      <c r="Z529" s="398"/>
      <c r="AA529" s="398"/>
      <c r="AB529" s="200"/>
      <c r="AC529" s="1"/>
      <c r="AD529" s="1"/>
      <c r="AE529" s="1"/>
      <c r="AF529" s="1"/>
      <c r="AG529" s="1"/>
      <c r="AH529" s="1"/>
      <c r="AI529" s="1"/>
      <c r="AJ529" s="1"/>
      <c r="AK529" s="1"/>
      <c r="AL529" s="1"/>
      <c r="AM529" s="1"/>
      <c r="AN529" s="1"/>
      <c r="AO529" s="1"/>
      <c r="AP529" s="1"/>
      <c r="AQ529" s="1"/>
      <c r="AR529" s="1"/>
      <c r="AS529" s="1"/>
      <c r="AT529" s="1"/>
      <c r="AU529" s="1"/>
      <c r="AV529" s="1"/>
      <c r="AW529" s="1"/>
      <c r="AX529" s="1"/>
      <c r="AY529" s="1"/>
    </row>
    <row r="530" spans="1:51" ht="19.95" customHeight="1">
      <c r="A530" s="199"/>
      <c r="B530" s="24"/>
      <c r="C530" s="24"/>
      <c r="D530" s="24"/>
      <c r="E530" s="24"/>
      <c r="F530" s="24"/>
      <c r="G530" s="24"/>
      <c r="H530" s="24"/>
      <c r="I530" s="24"/>
      <c r="J530" s="24"/>
      <c r="K530" s="24"/>
      <c r="L530" s="24"/>
      <c r="M530" s="24"/>
      <c r="N530" s="200"/>
      <c r="O530" s="199"/>
      <c r="P530" s="24"/>
      <c r="Q530" s="24"/>
      <c r="R530" s="398"/>
      <c r="S530" s="398"/>
      <c r="T530" s="398"/>
      <c r="U530" s="398"/>
      <c r="V530" s="398"/>
      <c r="W530" s="398"/>
      <c r="X530" s="398"/>
      <c r="Y530" s="398"/>
      <c r="Z530" s="398"/>
      <c r="AA530" s="398"/>
      <c r="AB530" s="200"/>
      <c r="AC530" s="1"/>
      <c r="AD530" s="1"/>
      <c r="AE530" s="1"/>
      <c r="AF530" s="1"/>
      <c r="AG530" s="1"/>
      <c r="AH530" s="1"/>
      <c r="AI530" s="1"/>
      <c r="AJ530" s="1"/>
      <c r="AK530" s="1"/>
      <c r="AL530" s="1"/>
      <c r="AM530" s="1"/>
      <c r="AN530" s="1"/>
      <c r="AO530" s="1"/>
      <c r="AP530" s="1"/>
      <c r="AQ530" s="1"/>
      <c r="AR530" s="1"/>
      <c r="AS530" s="1"/>
      <c r="AT530" s="1"/>
      <c r="AU530" s="1"/>
      <c r="AV530" s="1"/>
      <c r="AW530" s="1"/>
      <c r="AX530" s="1"/>
      <c r="AY530" s="1"/>
    </row>
    <row r="531" spans="1:51" ht="4.95" customHeight="1">
      <c r="A531" s="199"/>
      <c r="B531" s="24"/>
      <c r="C531" s="24"/>
      <c r="D531" s="24"/>
      <c r="E531" s="24"/>
      <c r="F531" s="24"/>
      <c r="G531" s="24"/>
      <c r="H531" s="24"/>
      <c r="I531" s="24"/>
      <c r="J531" s="24"/>
      <c r="K531" s="24"/>
      <c r="L531" s="24"/>
      <c r="M531" s="24"/>
      <c r="N531" s="200"/>
      <c r="O531" s="199"/>
      <c r="P531" s="24"/>
      <c r="Q531" s="24"/>
      <c r="R531" s="398"/>
      <c r="S531" s="398"/>
      <c r="T531" s="398"/>
      <c r="U531" s="398"/>
      <c r="V531" s="398"/>
      <c r="W531" s="398"/>
      <c r="X531" s="398"/>
      <c r="Y531" s="398"/>
      <c r="Z531" s="398"/>
      <c r="AA531" s="398"/>
      <c r="AB531" s="200"/>
      <c r="AC531" s="1"/>
      <c r="AD531" s="1"/>
      <c r="AE531" s="1"/>
      <c r="AF531" s="1"/>
      <c r="AG531" s="1"/>
      <c r="AH531" s="1"/>
      <c r="AI531" s="1"/>
      <c r="AJ531" s="1"/>
      <c r="AK531" s="1"/>
      <c r="AL531" s="1"/>
      <c r="AM531" s="1"/>
      <c r="AN531" s="1"/>
      <c r="AO531" s="1"/>
      <c r="AP531" s="1"/>
      <c r="AQ531" s="1"/>
      <c r="AR531" s="1"/>
      <c r="AS531" s="1"/>
      <c r="AT531" s="1"/>
      <c r="AU531" s="1"/>
      <c r="AV531" s="1"/>
      <c r="AW531" s="1"/>
      <c r="AX531" s="1"/>
      <c r="AY531" s="1"/>
    </row>
    <row r="532" spans="1:51" ht="19.95" customHeight="1">
      <c r="A532" s="199"/>
      <c r="B532" s="1299" t="s">
        <v>1702</v>
      </c>
      <c r="C532" s="1299"/>
      <c r="D532" s="1299"/>
      <c r="E532" s="1299"/>
      <c r="F532" s="1299"/>
      <c r="G532" s="1299"/>
      <c r="H532" s="1299"/>
      <c r="I532" s="1299"/>
      <c r="J532" s="1299"/>
      <c r="K532" s="1299"/>
      <c r="L532" s="1299"/>
      <c r="M532" s="1299"/>
      <c r="N532" s="200"/>
      <c r="O532" s="199"/>
      <c r="P532" s="24"/>
      <c r="Q532" s="24"/>
      <c r="R532" s="398"/>
      <c r="S532" s="398"/>
      <c r="T532" s="398"/>
      <c r="U532" s="398"/>
      <c r="V532" s="398"/>
      <c r="W532" s="398"/>
      <c r="X532" s="398"/>
      <c r="Y532" s="398"/>
      <c r="Z532" s="398"/>
      <c r="AA532" s="398"/>
      <c r="AB532" s="200"/>
      <c r="AC532" s="1"/>
      <c r="AD532" s="1"/>
      <c r="AE532" s="1"/>
      <c r="AF532" s="1"/>
      <c r="AG532" s="1"/>
      <c r="AH532" s="1"/>
      <c r="AI532" s="1"/>
      <c r="AJ532" s="1"/>
      <c r="AK532" s="1"/>
      <c r="AL532" s="1"/>
      <c r="AM532" s="1"/>
      <c r="AN532" s="1"/>
      <c r="AO532" s="1"/>
      <c r="AP532" s="1"/>
      <c r="AQ532" s="1"/>
      <c r="AR532" s="1"/>
      <c r="AS532" s="1"/>
      <c r="AT532" s="1"/>
      <c r="AU532" s="1"/>
      <c r="AV532" s="1"/>
      <c r="AW532" s="1"/>
      <c r="AX532" s="1"/>
      <c r="AY532" s="1"/>
    </row>
    <row r="533" spans="1:51" ht="19.95" customHeight="1">
      <c r="A533" s="199"/>
      <c r="B533" s="1299"/>
      <c r="C533" s="1299"/>
      <c r="D533" s="1299"/>
      <c r="E533" s="1299"/>
      <c r="F533" s="1299"/>
      <c r="G533" s="1299"/>
      <c r="H533" s="1299"/>
      <c r="I533" s="1299"/>
      <c r="J533" s="1299"/>
      <c r="K533" s="1299"/>
      <c r="L533" s="1299"/>
      <c r="M533" s="1299"/>
      <c r="N533" s="200"/>
      <c r="O533" s="199"/>
      <c r="P533" s="24"/>
      <c r="Q533" s="24"/>
      <c r="R533" s="398"/>
      <c r="S533" s="398"/>
      <c r="T533" s="398"/>
      <c r="U533" s="398"/>
      <c r="V533" s="398"/>
      <c r="W533" s="398"/>
      <c r="X533" s="398"/>
      <c r="Y533" s="398"/>
      <c r="Z533" s="398"/>
      <c r="AA533" s="398"/>
      <c r="AB533" s="200"/>
      <c r="AC533" s="1"/>
      <c r="AD533" s="1"/>
      <c r="AE533" s="1"/>
      <c r="AF533" s="1"/>
      <c r="AG533" s="1"/>
      <c r="AH533" s="1"/>
      <c r="AI533" s="1"/>
      <c r="AJ533" s="1"/>
      <c r="AK533" s="1"/>
      <c r="AL533" s="1"/>
      <c r="AM533" s="1"/>
      <c r="AN533" s="1"/>
      <c r="AO533" s="1"/>
      <c r="AP533" s="1"/>
      <c r="AQ533" s="1"/>
      <c r="AR533" s="1"/>
      <c r="AS533" s="1"/>
      <c r="AT533" s="1"/>
      <c r="AU533" s="1"/>
      <c r="AV533" s="1"/>
      <c r="AW533" s="1"/>
      <c r="AX533" s="1"/>
      <c r="AY533" s="1"/>
    </row>
    <row r="534" spans="1:51" ht="19.95" customHeight="1">
      <c r="A534" s="199"/>
      <c r="B534" s="1299"/>
      <c r="C534" s="1299"/>
      <c r="D534" s="1299"/>
      <c r="E534" s="1299"/>
      <c r="F534" s="1299"/>
      <c r="G534" s="1299"/>
      <c r="H534" s="1299"/>
      <c r="I534" s="1299"/>
      <c r="J534" s="1299"/>
      <c r="K534" s="1299"/>
      <c r="L534" s="1299"/>
      <c r="M534" s="1299"/>
      <c r="N534" s="200"/>
      <c r="O534" s="199"/>
      <c r="P534" s="24"/>
      <c r="Q534" s="24"/>
      <c r="R534" s="398"/>
      <c r="S534" s="398"/>
      <c r="T534" s="398"/>
      <c r="U534" s="398"/>
      <c r="V534" s="398"/>
      <c r="W534" s="398"/>
      <c r="X534" s="398"/>
      <c r="Y534" s="398"/>
      <c r="Z534" s="398"/>
      <c r="AA534" s="398"/>
      <c r="AB534" s="200"/>
      <c r="AC534" s="1"/>
      <c r="AD534" s="1"/>
      <c r="AE534" s="1"/>
      <c r="AF534" s="1"/>
      <c r="AG534" s="1"/>
      <c r="AH534" s="1"/>
      <c r="AI534" s="1"/>
      <c r="AJ534" s="1"/>
      <c r="AK534" s="1"/>
      <c r="AL534" s="1"/>
      <c r="AM534" s="1"/>
      <c r="AN534" s="1"/>
      <c r="AO534" s="1"/>
      <c r="AP534" s="1"/>
      <c r="AQ534" s="1"/>
      <c r="AR534" s="1"/>
      <c r="AS534" s="1"/>
      <c r="AT534" s="1"/>
      <c r="AU534" s="1"/>
      <c r="AV534" s="1"/>
      <c r="AW534" s="1"/>
      <c r="AX534" s="1"/>
      <c r="AY534" s="1"/>
    </row>
    <row r="535" spans="1:51" ht="19.95" customHeight="1">
      <c r="A535" s="199"/>
      <c r="B535" s="1299"/>
      <c r="C535" s="1299"/>
      <c r="D535" s="1299"/>
      <c r="E535" s="1299"/>
      <c r="F535" s="1299"/>
      <c r="G535" s="1299"/>
      <c r="H535" s="1299"/>
      <c r="I535" s="1299"/>
      <c r="J535" s="1299"/>
      <c r="K535" s="1299"/>
      <c r="L535" s="1299"/>
      <c r="M535" s="1299"/>
      <c r="N535" s="200"/>
      <c r="O535" s="199"/>
      <c r="P535" s="24"/>
      <c r="Q535" s="24"/>
      <c r="R535" s="398"/>
      <c r="S535" s="398"/>
      <c r="T535" s="398"/>
      <c r="U535" s="398"/>
      <c r="V535" s="398"/>
      <c r="W535" s="398"/>
      <c r="X535" s="398"/>
      <c r="Y535" s="398"/>
      <c r="Z535" s="398"/>
      <c r="AA535" s="398"/>
      <c r="AB535" s="200"/>
      <c r="AC535" s="1"/>
      <c r="AD535" s="1"/>
      <c r="AE535" s="1"/>
      <c r="AF535" s="1"/>
      <c r="AG535" s="1"/>
      <c r="AH535" s="1"/>
      <c r="AI535" s="1"/>
      <c r="AJ535" s="1"/>
      <c r="AK535" s="1"/>
      <c r="AL535" s="1"/>
      <c r="AM535" s="1"/>
      <c r="AN535" s="1"/>
      <c r="AO535" s="1"/>
      <c r="AP535" s="1"/>
      <c r="AQ535" s="1"/>
      <c r="AR535" s="1"/>
      <c r="AS535" s="1"/>
      <c r="AT535" s="1"/>
      <c r="AU535" s="1"/>
      <c r="AV535" s="1"/>
      <c r="AW535" s="1"/>
      <c r="AX535" s="1"/>
      <c r="AY535" s="1"/>
    </row>
    <row r="536" spans="1:51" ht="19.95" customHeight="1">
      <c r="A536" s="199"/>
      <c r="B536" s="1299"/>
      <c r="C536" s="1299"/>
      <c r="D536" s="1299"/>
      <c r="E536" s="1299"/>
      <c r="F536" s="1299"/>
      <c r="G536" s="1299"/>
      <c r="H536" s="1299"/>
      <c r="I536" s="1299"/>
      <c r="J536" s="1299"/>
      <c r="K536" s="1299"/>
      <c r="L536" s="1299"/>
      <c r="M536" s="1299"/>
      <c r="N536" s="200"/>
      <c r="O536" s="199"/>
      <c r="P536" s="24"/>
      <c r="Q536" s="24"/>
      <c r="R536" s="398"/>
      <c r="S536" s="398"/>
      <c r="T536" s="398"/>
      <c r="U536" s="398"/>
      <c r="V536" s="398"/>
      <c r="W536" s="398"/>
      <c r="X536" s="398"/>
      <c r="Y536" s="398"/>
      <c r="Z536" s="398"/>
      <c r="AA536" s="398"/>
      <c r="AB536" s="200"/>
      <c r="AC536" s="1"/>
      <c r="AD536" s="1"/>
      <c r="AE536" s="1"/>
      <c r="AF536" s="1"/>
      <c r="AG536" s="1"/>
      <c r="AH536" s="1"/>
      <c r="AI536" s="1"/>
      <c r="AJ536" s="1"/>
      <c r="AK536" s="1"/>
      <c r="AL536" s="1"/>
      <c r="AM536" s="1"/>
      <c r="AN536" s="1"/>
      <c r="AO536" s="1"/>
      <c r="AP536" s="1"/>
      <c r="AQ536" s="1"/>
      <c r="AR536" s="1"/>
      <c r="AS536" s="1"/>
      <c r="AT536" s="1"/>
      <c r="AU536" s="1"/>
      <c r="AV536" s="1"/>
      <c r="AW536" s="1"/>
      <c r="AX536" s="1"/>
      <c r="AY536" s="1"/>
    </row>
    <row r="537" spans="1:51" ht="10.050000000000001" customHeight="1">
      <c r="A537" s="199"/>
      <c r="B537" s="24"/>
      <c r="C537" s="24"/>
      <c r="D537" s="24"/>
      <c r="E537" s="24"/>
      <c r="F537" s="24"/>
      <c r="G537" s="24"/>
      <c r="H537" s="24"/>
      <c r="I537" s="24"/>
      <c r="J537" s="24"/>
      <c r="K537" s="24"/>
      <c r="L537" s="24"/>
      <c r="M537" s="24"/>
      <c r="N537" s="200"/>
      <c r="O537" s="199"/>
      <c r="P537" s="24"/>
      <c r="Q537" s="24"/>
      <c r="R537" s="398"/>
      <c r="S537" s="398"/>
      <c r="T537" s="398"/>
      <c r="U537" s="398"/>
      <c r="V537" s="398"/>
      <c r="W537" s="398"/>
      <c r="X537" s="398"/>
      <c r="Y537" s="398"/>
      <c r="Z537" s="398"/>
      <c r="AA537" s="398"/>
      <c r="AB537" s="200"/>
      <c r="AC537" s="1"/>
      <c r="AD537" s="1"/>
      <c r="AE537" s="1"/>
      <c r="AF537" s="1"/>
      <c r="AG537" s="1"/>
      <c r="AH537" s="1"/>
      <c r="AI537" s="1"/>
      <c r="AJ537" s="1"/>
      <c r="AK537" s="1"/>
      <c r="AL537" s="1"/>
      <c r="AM537" s="1"/>
      <c r="AN537" s="1"/>
      <c r="AO537" s="1"/>
      <c r="AP537" s="1"/>
      <c r="AQ537" s="1"/>
      <c r="AR537" s="1"/>
      <c r="AS537" s="1"/>
      <c r="AT537" s="1"/>
      <c r="AU537" s="1"/>
      <c r="AV537" s="1"/>
      <c r="AW537" s="1"/>
      <c r="AX537" s="1"/>
      <c r="AY537" s="1"/>
    </row>
    <row r="538" spans="1:51" ht="30" customHeight="1">
      <c r="A538" s="210" t="s">
        <v>1148</v>
      </c>
      <c r="B538" s="396" t="s">
        <v>1651</v>
      </c>
      <c r="C538" s="582"/>
      <c r="D538" s="582"/>
      <c r="E538" s="583"/>
      <c r="F538" s="374"/>
      <c r="G538" s="373"/>
      <c r="H538" s="373"/>
      <c r="I538" s="373"/>
      <c r="J538" s="373"/>
      <c r="K538" s="373"/>
      <c r="L538" s="373"/>
      <c r="M538" s="373"/>
      <c r="N538" s="211" t="s">
        <v>1149</v>
      </c>
      <c r="O538" s="372"/>
      <c r="P538" s="374"/>
      <c r="Q538" s="373"/>
      <c r="R538" s="373"/>
      <c r="S538" s="373"/>
      <c r="T538" s="373"/>
      <c r="U538" s="373"/>
      <c r="V538" s="373"/>
      <c r="W538" s="373"/>
      <c r="X538" s="373"/>
      <c r="Y538" s="373"/>
      <c r="Z538" s="373"/>
      <c r="AA538" s="373"/>
      <c r="AB538" s="211" t="s">
        <v>1149</v>
      </c>
      <c r="AC538" s="577"/>
      <c r="AD538" s="1"/>
      <c r="AE538" s="1"/>
      <c r="AF538" s="1"/>
      <c r="AG538" s="1"/>
      <c r="AH538" s="577"/>
      <c r="AI538" s="577"/>
      <c r="AJ538" s="577"/>
      <c r="AK538" s="577"/>
      <c r="AL538" s="577"/>
      <c r="AM538" s="577"/>
      <c r="AN538" s="577"/>
      <c r="AO538" s="577"/>
      <c r="AP538" s="577"/>
      <c r="AQ538" s="577"/>
      <c r="AR538" s="577"/>
      <c r="AS538" s="577"/>
      <c r="AT538" s="577"/>
      <c r="AU538" s="577"/>
      <c r="AV538" s="577"/>
      <c r="AW538" s="577"/>
      <c r="AX538" s="577"/>
      <c r="AY538" s="577"/>
    </row>
    <row r="539" spans="1:51" ht="10.050000000000001" customHeight="1">
      <c r="A539" s="199"/>
      <c r="B539" s="24"/>
      <c r="C539" s="24"/>
      <c r="D539" s="24"/>
      <c r="E539" s="24"/>
      <c r="F539" s="24"/>
      <c r="G539" s="24"/>
      <c r="H539" s="24"/>
      <c r="I539" s="24"/>
      <c r="J539" s="24"/>
      <c r="K539" s="24"/>
      <c r="L539" s="24"/>
      <c r="M539" s="24"/>
      <c r="N539" s="200"/>
      <c r="O539" s="199"/>
      <c r="P539" s="24"/>
      <c r="Q539" s="24"/>
      <c r="R539" s="398"/>
      <c r="S539" s="398"/>
      <c r="T539" s="398"/>
      <c r="U539" s="398"/>
      <c r="V539" s="398"/>
      <c r="W539" s="398"/>
      <c r="X539" s="398"/>
      <c r="Y539" s="398"/>
      <c r="Z539" s="398"/>
      <c r="AA539" s="398"/>
      <c r="AB539" s="200"/>
      <c r="AC539" s="1"/>
      <c r="AD539" s="1"/>
      <c r="AE539" s="1"/>
      <c r="AF539" s="1"/>
      <c r="AG539" s="1"/>
      <c r="AH539" s="1"/>
      <c r="AI539" s="1"/>
      <c r="AJ539" s="1"/>
      <c r="AK539" s="1"/>
      <c r="AL539" s="1"/>
      <c r="AM539" s="1"/>
      <c r="AN539" s="1"/>
      <c r="AO539" s="1"/>
      <c r="AP539" s="1"/>
      <c r="AQ539" s="1"/>
      <c r="AR539" s="1"/>
      <c r="AS539" s="1"/>
      <c r="AT539" s="1"/>
      <c r="AU539" s="1"/>
      <c r="AV539" s="1"/>
      <c r="AW539" s="1"/>
      <c r="AX539" s="1"/>
      <c r="AY539" s="1"/>
    </row>
    <row r="540" spans="1:51" ht="64.95" customHeight="1">
      <c r="A540" s="199"/>
      <c r="B540" s="1331" t="s">
        <v>1748</v>
      </c>
      <c r="C540" s="1331"/>
      <c r="D540" s="1331"/>
      <c r="E540" s="1331"/>
      <c r="F540" s="1331"/>
      <c r="G540" s="1331"/>
      <c r="H540" s="1331"/>
      <c r="I540" s="1331"/>
      <c r="J540" s="1331"/>
      <c r="K540" s="1331"/>
      <c r="L540" s="1331"/>
      <c r="M540" s="1331"/>
      <c r="N540" s="200"/>
      <c r="O540" s="199"/>
      <c r="P540" s="24"/>
      <c r="Q540" s="24"/>
      <c r="R540" s="398"/>
      <c r="S540" s="398"/>
      <c r="T540" s="398"/>
      <c r="U540" s="398"/>
      <c r="V540" s="398"/>
      <c r="W540" s="398"/>
      <c r="X540" s="398"/>
      <c r="Y540" s="398"/>
      <c r="Z540" s="398"/>
      <c r="AA540" s="398"/>
      <c r="AB540" s="200"/>
      <c r="AC540" s="1"/>
      <c r="AD540" s="1"/>
      <c r="AE540" s="1"/>
      <c r="AF540" s="1"/>
      <c r="AG540" s="1"/>
      <c r="AH540" s="1"/>
      <c r="AI540" s="1"/>
      <c r="AJ540" s="1"/>
      <c r="AK540" s="1"/>
      <c r="AL540" s="1"/>
      <c r="AM540" s="1"/>
      <c r="AN540" s="1"/>
      <c r="AO540" s="1"/>
      <c r="AP540" s="1"/>
      <c r="AQ540" s="1"/>
      <c r="AR540" s="1"/>
      <c r="AS540" s="1"/>
      <c r="AT540" s="1"/>
      <c r="AU540" s="1"/>
      <c r="AV540" s="1"/>
      <c r="AW540" s="1"/>
      <c r="AX540" s="1"/>
      <c r="AY540" s="1"/>
    </row>
    <row r="541" spans="1:51" ht="10.050000000000001" customHeight="1">
      <c r="A541" s="199"/>
      <c r="B541" s="24"/>
      <c r="C541" s="24"/>
      <c r="D541" s="24"/>
      <c r="E541" s="24"/>
      <c r="F541" s="24"/>
      <c r="G541" s="24"/>
      <c r="H541" s="24"/>
      <c r="I541" s="24"/>
      <c r="J541" s="24"/>
      <c r="K541" s="24"/>
      <c r="L541" s="24"/>
      <c r="M541" s="24"/>
      <c r="N541" s="200"/>
      <c r="O541" s="199"/>
      <c r="P541" s="24"/>
      <c r="Q541" s="24"/>
      <c r="R541" s="398"/>
      <c r="S541" s="398"/>
      <c r="T541" s="398"/>
      <c r="U541" s="398"/>
      <c r="V541" s="398"/>
      <c r="W541" s="398"/>
      <c r="X541" s="398"/>
      <c r="Y541" s="398"/>
      <c r="Z541" s="398"/>
      <c r="AA541" s="398"/>
      <c r="AB541" s="200"/>
      <c r="AC541" s="1"/>
      <c r="AD541" s="1"/>
      <c r="AE541" s="1"/>
      <c r="AF541" s="1"/>
      <c r="AG541" s="1"/>
      <c r="AH541" s="1"/>
      <c r="AI541" s="1"/>
      <c r="AJ541" s="1"/>
      <c r="AK541" s="1"/>
      <c r="AL541" s="1"/>
      <c r="AM541" s="1"/>
      <c r="AN541" s="1"/>
      <c r="AO541" s="1"/>
      <c r="AP541" s="1"/>
      <c r="AQ541" s="1"/>
      <c r="AR541" s="1"/>
      <c r="AS541" s="1"/>
      <c r="AT541" s="1"/>
      <c r="AU541" s="1"/>
      <c r="AV541" s="1"/>
      <c r="AW541" s="1"/>
      <c r="AX541" s="1"/>
      <c r="AY541" s="1"/>
    </row>
    <row r="542" spans="1:51" ht="19.95" customHeight="1">
      <c r="A542" s="199"/>
      <c r="B542" s="1277" t="s">
        <v>1749</v>
      </c>
      <c r="C542" s="1277"/>
      <c r="D542" s="1277"/>
      <c r="E542" s="1277"/>
      <c r="F542" s="1277"/>
      <c r="G542" s="1277"/>
      <c r="H542" s="1277"/>
      <c r="I542" s="24"/>
      <c r="J542" s="24"/>
      <c r="K542" s="24"/>
      <c r="L542" s="24"/>
      <c r="M542" s="24"/>
      <c r="N542" s="200"/>
      <c r="O542" s="199"/>
      <c r="P542" s="24"/>
      <c r="Q542" s="24"/>
      <c r="R542" s="398"/>
      <c r="S542" s="398"/>
      <c r="T542" s="398"/>
      <c r="U542" s="398"/>
      <c r="V542" s="398"/>
      <c r="W542" s="398"/>
      <c r="X542" s="398"/>
      <c r="Y542" s="398"/>
      <c r="Z542" s="398"/>
      <c r="AA542" s="398"/>
      <c r="AB542" s="200"/>
      <c r="AC542" s="1"/>
      <c r="AD542" s="1"/>
      <c r="AE542" s="1"/>
      <c r="AF542" s="1"/>
      <c r="AG542" s="1"/>
      <c r="AH542" s="1"/>
      <c r="AI542" s="1"/>
      <c r="AJ542" s="1"/>
      <c r="AK542" s="1"/>
      <c r="AL542" s="1"/>
      <c r="AM542" s="1"/>
      <c r="AN542" s="1"/>
      <c r="AO542" s="1"/>
      <c r="AP542" s="1"/>
      <c r="AQ542" s="1"/>
      <c r="AR542" s="1"/>
      <c r="AS542" s="1"/>
      <c r="AT542" s="1"/>
      <c r="AU542" s="1"/>
      <c r="AV542" s="1"/>
      <c r="AW542" s="1"/>
      <c r="AX542" s="1"/>
      <c r="AY542" s="1"/>
    </row>
    <row r="543" spans="1:51" ht="19.95" customHeight="1">
      <c r="A543" s="199"/>
      <c r="B543" s="1277"/>
      <c r="C543" s="1277"/>
      <c r="D543" s="1277"/>
      <c r="E543" s="1277"/>
      <c r="F543" s="1277"/>
      <c r="G543" s="1277"/>
      <c r="H543" s="1277"/>
      <c r="I543" s="24"/>
      <c r="J543" s="24"/>
      <c r="K543" s="24"/>
      <c r="L543" s="24"/>
      <c r="M543" s="24"/>
      <c r="N543" s="200"/>
      <c r="O543" s="199"/>
      <c r="P543" s="24"/>
      <c r="Q543" s="24"/>
      <c r="R543" s="398"/>
      <c r="S543" s="398"/>
      <c r="T543" s="398"/>
      <c r="U543" s="398"/>
      <c r="V543" s="398"/>
      <c r="W543" s="398"/>
      <c r="X543" s="398"/>
      <c r="Y543" s="398"/>
      <c r="Z543" s="398"/>
      <c r="AA543" s="398"/>
      <c r="AB543" s="200"/>
      <c r="AC543" s="1"/>
      <c r="AD543" s="1"/>
      <c r="AE543" s="1"/>
      <c r="AF543" s="1"/>
      <c r="AG543" s="1"/>
      <c r="AH543" s="1"/>
      <c r="AI543" s="1"/>
      <c r="AJ543" s="1"/>
      <c r="AK543" s="1"/>
      <c r="AL543" s="1"/>
      <c r="AM543" s="1"/>
      <c r="AN543" s="1"/>
      <c r="AO543" s="1"/>
      <c r="AP543" s="1"/>
      <c r="AQ543" s="1"/>
      <c r="AR543" s="1"/>
      <c r="AS543" s="1"/>
      <c r="AT543" s="1"/>
      <c r="AU543" s="1"/>
      <c r="AV543" s="1"/>
      <c r="AW543" s="1"/>
      <c r="AX543" s="1"/>
      <c r="AY543" s="1"/>
    </row>
    <row r="544" spans="1:51" ht="19.95" customHeight="1">
      <c r="A544" s="199"/>
      <c r="B544" s="1277"/>
      <c r="C544" s="1277"/>
      <c r="D544" s="1277"/>
      <c r="E544" s="1277"/>
      <c r="F544" s="1277"/>
      <c r="G544" s="1277"/>
      <c r="H544" s="1277"/>
      <c r="I544" s="24"/>
      <c r="J544" s="24"/>
      <c r="K544" s="24"/>
      <c r="L544" s="24"/>
      <c r="M544" s="24"/>
      <c r="N544" s="200"/>
      <c r="O544" s="199"/>
      <c r="P544" s="24"/>
      <c r="Q544" s="24"/>
      <c r="R544" s="398"/>
      <c r="S544" s="398"/>
      <c r="T544" s="398"/>
      <c r="U544" s="398"/>
      <c r="V544" s="398"/>
      <c r="W544" s="398"/>
      <c r="X544" s="398"/>
      <c r="Y544" s="398"/>
      <c r="Z544" s="398"/>
      <c r="AA544" s="398"/>
      <c r="AB544" s="200"/>
      <c r="AC544" s="1"/>
      <c r="AD544" s="1"/>
      <c r="AE544" s="1"/>
      <c r="AF544" s="1"/>
      <c r="AG544" s="1"/>
      <c r="AH544" s="1"/>
      <c r="AI544" s="1"/>
      <c r="AJ544" s="1"/>
      <c r="AK544" s="1"/>
      <c r="AL544" s="1"/>
      <c r="AM544" s="1"/>
      <c r="AN544" s="1"/>
      <c r="AO544" s="1"/>
      <c r="AP544" s="1"/>
      <c r="AQ544" s="1"/>
      <c r="AR544" s="1"/>
      <c r="AS544" s="1"/>
      <c r="AT544" s="1"/>
      <c r="AU544" s="1"/>
      <c r="AV544" s="1"/>
      <c r="AW544" s="1"/>
      <c r="AX544" s="1"/>
      <c r="AY544" s="1"/>
    </row>
    <row r="545" spans="1:51" ht="19.95" customHeight="1">
      <c r="A545" s="199"/>
      <c r="B545" s="1277"/>
      <c r="C545" s="1277"/>
      <c r="D545" s="1277"/>
      <c r="E545" s="1277"/>
      <c r="F545" s="1277"/>
      <c r="G545" s="1277"/>
      <c r="H545" s="1277"/>
      <c r="I545" s="24"/>
      <c r="J545" s="24"/>
      <c r="K545" s="24"/>
      <c r="L545" s="24"/>
      <c r="M545" s="24"/>
      <c r="N545" s="200"/>
      <c r="O545" s="199"/>
      <c r="P545" s="24"/>
      <c r="Q545" s="24"/>
      <c r="R545" s="398"/>
      <c r="S545" s="398"/>
      <c r="T545" s="398"/>
      <c r="U545" s="398"/>
      <c r="V545" s="398"/>
      <c r="W545" s="398"/>
      <c r="X545" s="398"/>
      <c r="Y545" s="398"/>
      <c r="Z545" s="398"/>
      <c r="AA545" s="398"/>
      <c r="AB545" s="200"/>
      <c r="AC545" s="1"/>
      <c r="AD545" s="1"/>
      <c r="AE545" s="1"/>
      <c r="AF545" s="1"/>
      <c r="AG545" s="1"/>
      <c r="AH545" s="1"/>
      <c r="AI545" s="1"/>
      <c r="AJ545" s="1"/>
      <c r="AK545" s="1"/>
      <c r="AL545" s="1"/>
      <c r="AM545" s="1"/>
      <c r="AN545" s="1"/>
      <c r="AO545" s="1"/>
      <c r="AP545" s="1"/>
      <c r="AQ545" s="1"/>
      <c r="AR545" s="1"/>
      <c r="AS545" s="1"/>
      <c r="AT545" s="1"/>
      <c r="AU545" s="1"/>
      <c r="AV545" s="1"/>
      <c r="AW545" s="1"/>
      <c r="AX545" s="1"/>
      <c r="AY545" s="1"/>
    </row>
    <row r="546" spans="1:51" ht="19.95" customHeight="1">
      <c r="A546" s="199"/>
      <c r="B546" s="1277"/>
      <c r="C546" s="1277"/>
      <c r="D546" s="1277"/>
      <c r="E546" s="1277"/>
      <c r="F546" s="1277"/>
      <c r="G546" s="1277"/>
      <c r="H546" s="1277"/>
      <c r="I546" s="24"/>
      <c r="J546" s="24"/>
      <c r="K546" s="24"/>
      <c r="L546" s="24"/>
      <c r="M546" s="24"/>
      <c r="N546" s="200"/>
      <c r="O546" s="199"/>
      <c r="P546" s="24"/>
      <c r="Q546" s="24"/>
      <c r="R546" s="398"/>
      <c r="S546" s="398"/>
      <c r="T546" s="398"/>
      <c r="U546" s="398"/>
      <c r="V546" s="398"/>
      <c r="W546" s="398"/>
      <c r="X546" s="398"/>
      <c r="Y546" s="398"/>
      <c r="Z546" s="398"/>
      <c r="AA546" s="398"/>
      <c r="AB546" s="200"/>
      <c r="AC546" s="1"/>
      <c r="AD546" s="1"/>
      <c r="AE546" s="1"/>
      <c r="AF546" s="1"/>
      <c r="AG546" s="1"/>
      <c r="AH546" s="1"/>
      <c r="AI546" s="1"/>
      <c r="AJ546" s="1"/>
      <c r="AK546" s="1"/>
      <c r="AL546" s="1"/>
      <c r="AM546" s="1"/>
      <c r="AN546" s="1"/>
      <c r="AO546" s="1"/>
      <c r="AP546" s="1"/>
      <c r="AQ546" s="1"/>
      <c r="AR546" s="1"/>
      <c r="AS546" s="1"/>
      <c r="AT546" s="1"/>
      <c r="AU546" s="1"/>
      <c r="AV546" s="1"/>
      <c r="AW546" s="1"/>
      <c r="AX546" s="1"/>
      <c r="AY546" s="1"/>
    </row>
    <row r="547" spans="1:51" ht="19.95" customHeight="1">
      <c r="A547" s="199"/>
      <c r="B547" s="1277"/>
      <c r="C547" s="1277"/>
      <c r="D547" s="1277"/>
      <c r="E547" s="1277"/>
      <c r="F547" s="1277"/>
      <c r="G547" s="1277"/>
      <c r="H547" s="1277"/>
      <c r="I547" s="24"/>
      <c r="J547" s="24"/>
      <c r="K547" s="24"/>
      <c r="L547" s="24"/>
      <c r="M547" s="24"/>
      <c r="N547" s="200"/>
      <c r="O547" s="199"/>
      <c r="P547" s="24"/>
      <c r="Q547" s="24"/>
      <c r="R547" s="398"/>
      <c r="S547" s="398"/>
      <c r="T547" s="398"/>
      <c r="U547" s="398"/>
      <c r="V547" s="398"/>
      <c r="W547" s="398"/>
      <c r="X547" s="398"/>
      <c r="Y547" s="398"/>
      <c r="Z547" s="398"/>
      <c r="AA547" s="398"/>
      <c r="AB547" s="200"/>
      <c r="AC547" s="1"/>
      <c r="AD547" s="1"/>
      <c r="AE547" s="1"/>
      <c r="AF547" s="1"/>
      <c r="AG547" s="1"/>
      <c r="AH547" s="1"/>
      <c r="AI547" s="1"/>
      <c r="AJ547" s="1"/>
      <c r="AK547" s="1"/>
      <c r="AL547" s="1"/>
      <c r="AM547" s="1"/>
      <c r="AN547" s="1"/>
      <c r="AO547" s="1"/>
      <c r="AP547" s="1"/>
      <c r="AQ547" s="1"/>
      <c r="AR547" s="1"/>
      <c r="AS547" s="1"/>
      <c r="AT547" s="1"/>
      <c r="AU547" s="1"/>
      <c r="AV547" s="1"/>
      <c r="AW547" s="1"/>
      <c r="AX547" s="1"/>
      <c r="AY547" s="1"/>
    </row>
    <row r="548" spans="1:51" ht="19.95" customHeight="1">
      <c r="A548" s="199"/>
      <c r="B548" s="1277"/>
      <c r="C548" s="1277"/>
      <c r="D548" s="1277"/>
      <c r="E548" s="1277"/>
      <c r="F548" s="1277"/>
      <c r="G548" s="1277"/>
      <c r="H548" s="1277"/>
      <c r="I548" s="24"/>
      <c r="J548" s="24"/>
      <c r="K548" s="24"/>
      <c r="L548" s="24"/>
      <c r="M548" s="24"/>
      <c r="N548" s="200"/>
      <c r="O548" s="199"/>
      <c r="P548" s="24"/>
      <c r="Q548" s="24"/>
      <c r="R548" s="398"/>
      <c r="S548" s="398"/>
      <c r="T548" s="398"/>
      <c r="U548" s="398"/>
      <c r="V548" s="398"/>
      <c r="W548" s="398"/>
      <c r="X548" s="398"/>
      <c r="Y548" s="398"/>
      <c r="Z548" s="398"/>
      <c r="AA548" s="398"/>
      <c r="AB548" s="200"/>
      <c r="AC548" s="1"/>
      <c r="AD548" s="1"/>
      <c r="AE548" s="1"/>
      <c r="AF548" s="1"/>
      <c r="AG548" s="1"/>
      <c r="AH548" s="1"/>
      <c r="AI548" s="1"/>
      <c r="AJ548" s="1"/>
      <c r="AK548" s="1"/>
      <c r="AL548" s="1"/>
      <c r="AM548" s="1"/>
      <c r="AN548" s="1"/>
      <c r="AO548" s="1"/>
      <c r="AP548" s="1"/>
      <c r="AQ548" s="1"/>
      <c r="AR548" s="1"/>
      <c r="AS548" s="1"/>
      <c r="AT548" s="1"/>
      <c r="AU548" s="1"/>
      <c r="AV548" s="1"/>
      <c r="AW548" s="1"/>
      <c r="AX548" s="1"/>
      <c r="AY548" s="1"/>
    </row>
    <row r="549" spans="1:51" ht="10.050000000000001" customHeight="1">
      <c r="A549" s="199"/>
      <c r="B549" s="24"/>
      <c r="C549" s="24"/>
      <c r="D549" s="24"/>
      <c r="E549" s="24"/>
      <c r="F549" s="24"/>
      <c r="G549" s="24"/>
      <c r="H549" s="24"/>
      <c r="I549" s="24"/>
      <c r="J549" s="24"/>
      <c r="K549" s="24"/>
      <c r="L549" s="24"/>
      <c r="M549" s="24"/>
      <c r="N549" s="200"/>
      <c r="O549" s="199"/>
      <c r="P549" s="24"/>
      <c r="Q549" s="24"/>
      <c r="R549" s="398"/>
      <c r="S549" s="398"/>
      <c r="T549" s="398"/>
      <c r="U549" s="398"/>
      <c r="V549" s="398"/>
      <c r="W549" s="398"/>
      <c r="X549" s="398"/>
      <c r="Y549" s="398"/>
      <c r="Z549" s="398"/>
      <c r="AA549" s="398"/>
      <c r="AB549" s="200"/>
      <c r="AC549" s="1"/>
      <c r="AD549" s="1"/>
      <c r="AE549" s="1"/>
      <c r="AF549" s="1"/>
      <c r="AG549" s="1"/>
      <c r="AH549" s="1"/>
      <c r="AI549" s="1"/>
      <c r="AJ549" s="1"/>
      <c r="AK549" s="1"/>
      <c r="AL549" s="1"/>
      <c r="AM549" s="1"/>
      <c r="AN549" s="1"/>
      <c r="AO549" s="1"/>
      <c r="AP549" s="1"/>
      <c r="AQ549" s="1"/>
      <c r="AR549" s="1"/>
      <c r="AS549" s="1"/>
      <c r="AT549" s="1"/>
      <c r="AU549" s="1"/>
      <c r="AV549" s="1"/>
      <c r="AW549" s="1"/>
      <c r="AX549" s="1"/>
      <c r="AY549" s="1"/>
    </row>
    <row r="550" spans="1:51" ht="19.95" customHeight="1">
      <c r="A550" s="199"/>
      <c r="B550" s="24"/>
      <c r="C550" s="24"/>
      <c r="D550" s="24"/>
      <c r="E550" s="1332" t="s">
        <v>1750</v>
      </c>
      <c r="F550" s="1332"/>
      <c r="G550" s="1332"/>
      <c r="H550" s="1332"/>
      <c r="I550" s="1332"/>
      <c r="J550" s="1332"/>
      <c r="K550" s="1332"/>
      <c r="L550" s="1332"/>
      <c r="M550" s="1332"/>
      <c r="N550" s="200"/>
      <c r="O550" s="199"/>
      <c r="P550" s="24"/>
      <c r="Q550" s="24"/>
      <c r="R550" s="398"/>
      <c r="S550" s="398"/>
      <c r="T550" s="398"/>
      <c r="U550" s="398"/>
      <c r="V550" s="398"/>
      <c r="W550" s="398"/>
      <c r="X550" s="398"/>
      <c r="Y550" s="398"/>
      <c r="Z550" s="398"/>
      <c r="AA550" s="398"/>
      <c r="AB550" s="200"/>
      <c r="AC550" s="1"/>
      <c r="AD550" s="1"/>
      <c r="AE550" s="1"/>
      <c r="AF550" s="1"/>
      <c r="AG550" s="1"/>
      <c r="AH550" s="1"/>
      <c r="AI550" s="1"/>
      <c r="AJ550" s="1"/>
      <c r="AK550" s="1"/>
      <c r="AL550" s="1"/>
      <c r="AM550" s="1"/>
      <c r="AN550" s="1"/>
      <c r="AO550" s="1"/>
      <c r="AP550" s="1"/>
      <c r="AQ550" s="1"/>
      <c r="AR550" s="1"/>
      <c r="AS550" s="1"/>
      <c r="AT550" s="1"/>
      <c r="AU550" s="1"/>
      <c r="AV550" s="1"/>
      <c r="AW550" s="1"/>
      <c r="AX550" s="1"/>
      <c r="AY550" s="1"/>
    </row>
    <row r="551" spans="1:51" ht="19.95" customHeight="1">
      <c r="A551" s="199"/>
      <c r="B551" s="24"/>
      <c r="C551" s="24"/>
      <c r="D551" s="24"/>
      <c r="E551" s="1332"/>
      <c r="F551" s="1332"/>
      <c r="G551" s="1332"/>
      <c r="H551" s="1332"/>
      <c r="I551" s="1332"/>
      <c r="J551" s="1332"/>
      <c r="K551" s="1332"/>
      <c r="L551" s="1332"/>
      <c r="M551" s="1332"/>
      <c r="N551" s="200"/>
      <c r="O551" s="199"/>
      <c r="P551" s="24"/>
      <c r="Q551" s="24"/>
      <c r="R551" s="398"/>
      <c r="S551" s="398"/>
      <c r="T551" s="398"/>
      <c r="U551" s="398"/>
      <c r="V551" s="398"/>
      <c r="W551" s="398"/>
      <c r="X551" s="398"/>
      <c r="Y551" s="398"/>
      <c r="Z551" s="398"/>
      <c r="AA551" s="398"/>
      <c r="AB551" s="200"/>
      <c r="AC551" s="1"/>
      <c r="AD551" s="1"/>
      <c r="AE551" s="1"/>
      <c r="AF551" s="1"/>
      <c r="AG551" s="1"/>
      <c r="AH551" s="1"/>
      <c r="AI551" s="1"/>
      <c r="AJ551" s="1"/>
      <c r="AK551" s="1"/>
      <c r="AL551" s="1"/>
      <c r="AM551" s="1"/>
      <c r="AN551" s="1"/>
      <c r="AO551" s="1"/>
      <c r="AP551" s="1"/>
      <c r="AQ551" s="1"/>
      <c r="AR551" s="1"/>
      <c r="AS551" s="1"/>
      <c r="AT551" s="1"/>
      <c r="AU551" s="1"/>
      <c r="AV551" s="1"/>
      <c r="AW551" s="1"/>
      <c r="AX551" s="1"/>
      <c r="AY551" s="1"/>
    </row>
    <row r="552" spans="1:51" ht="19.95" customHeight="1">
      <c r="A552" s="199"/>
      <c r="B552" s="24"/>
      <c r="C552" s="24"/>
      <c r="D552" s="24"/>
      <c r="E552" s="1332"/>
      <c r="F552" s="1332"/>
      <c r="G552" s="1332"/>
      <c r="H552" s="1332"/>
      <c r="I552" s="1332"/>
      <c r="J552" s="1332"/>
      <c r="K552" s="1332"/>
      <c r="L552" s="1332"/>
      <c r="M552" s="1332"/>
      <c r="N552" s="200"/>
      <c r="O552" s="199"/>
      <c r="P552" s="24"/>
      <c r="Q552" s="24"/>
      <c r="R552" s="398"/>
      <c r="S552" s="398"/>
      <c r="T552" s="398"/>
      <c r="U552" s="398"/>
      <c r="V552" s="398"/>
      <c r="W552" s="398"/>
      <c r="X552" s="398"/>
      <c r="Y552" s="398"/>
      <c r="Z552" s="398"/>
      <c r="AA552" s="398"/>
      <c r="AB552" s="200"/>
      <c r="AC552" s="1"/>
      <c r="AD552" s="1"/>
      <c r="AE552" s="1"/>
      <c r="AF552" s="1"/>
      <c r="AG552" s="1"/>
      <c r="AH552" s="1"/>
      <c r="AI552" s="1"/>
      <c r="AJ552" s="1"/>
      <c r="AK552" s="1"/>
      <c r="AL552" s="1"/>
      <c r="AM552" s="1"/>
      <c r="AN552" s="1"/>
      <c r="AO552" s="1"/>
      <c r="AP552" s="1"/>
      <c r="AQ552" s="1"/>
      <c r="AR552" s="1"/>
      <c r="AS552" s="1"/>
      <c r="AT552" s="1"/>
      <c r="AU552" s="1"/>
      <c r="AV552" s="1"/>
      <c r="AW552" s="1"/>
      <c r="AX552" s="1"/>
      <c r="AY552" s="1"/>
    </row>
    <row r="553" spans="1:51" ht="19.95" customHeight="1">
      <c r="A553" s="199"/>
      <c r="B553" s="24"/>
      <c r="C553" s="24"/>
      <c r="D553" s="24"/>
      <c r="E553" s="1332"/>
      <c r="F553" s="1332"/>
      <c r="G553" s="1332"/>
      <c r="H553" s="1332"/>
      <c r="I553" s="1332"/>
      <c r="J553" s="1332"/>
      <c r="K553" s="1332"/>
      <c r="L553" s="1332"/>
      <c r="M553" s="1332"/>
      <c r="N553" s="200"/>
      <c r="O553" s="199"/>
      <c r="P553" s="24"/>
      <c r="Q553" s="24"/>
      <c r="R553" s="398"/>
      <c r="S553" s="398"/>
      <c r="T553" s="398"/>
      <c r="U553" s="398"/>
      <c r="V553" s="398"/>
      <c r="W553" s="398"/>
      <c r="X553" s="398"/>
      <c r="Y553" s="398"/>
      <c r="Z553" s="398"/>
      <c r="AA553" s="398"/>
      <c r="AB553" s="200"/>
      <c r="AC553" s="1"/>
      <c r="AD553" s="1"/>
      <c r="AE553" s="1"/>
      <c r="AF553" s="1"/>
      <c r="AG553" s="1"/>
      <c r="AH553" s="1"/>
      <c r="AI553" s="1"/>
      <c r="AJ553" s="1"/>
      <c r="AK553" s="1"/>
      <c r="AL553" s="1"/>
      <c r="AM553" s="1"/>
      <c r="AN553" s="1"/>
      <c r="AO553" s="1"/>
      <c r="AP553" s="1"/>
      <c r="AQ553" s="1"/>
      <c r="AR553" s="1"/>
      <c r="AS553" s="1"/>
      <c r="AT553" s="1"/>
      <c r="AU553" s="1"/>
      <c r="AV553" s="1"/>
      <c r="AW553" s="1"/>
      <c r="AX553" s="1"/>
      <c r="AY553" s="1"/>
    </row>
    <row r="554" spans="1:51" ht="19.95" customHeight="1">
      <c r="A554" s="199"/>
      <c r="B554" s="24"/>
      <c r="C554" s="24"/>
      <c r="D554" s="24"/>
      <c r="E554" s="1332"/>
      <c r="F554" s="1332"/>
      <c r="G554" s="1332"/>
      <c r="H554" s="1332"/>
      <c r="I554" s="1332"/>
      <c r="J554" s="1332"/>
      <c r="K554" s="1332"/>
      <c r="L554" s="1332"/>
      <c r="M554" s="1332"/>
      <c r="N554" s="200"/>
      <c r="O554" s="199"/>
      <c r="P554" s="24"/>
      <c r="Q554" s="24"/>
      <c r="R554" s="398"/>
      <c r="S554" s="398"/>
      <c r="T554" s="398"/>
      <c r="U554" s="398"/>
      <c r="V554" s="398"/>
      <c r="W554" s="398"/>
      <c r="X554" s="398"/>
      <c r="Y554" s="398"/>
      <c r="Z554" s="398"/>
      <c r="AA554" s="398"/>
      <c r="AB554" s="200"/>
      <c r="AC554" s="1"/>
      <c r="AD554" s="1"/>
      <c r="AE554" s="1"/>
      <c r="AF554" s="1"/>
      <c r="AG554" s="1"/>
      <c r="AH554" s="1"/>
      <c r="AI554" s="1"/>
      <c r="AJ554" s="1"/>
      <c r="AK554" s="1"/>
      <c r="AL554" s="1"/>
      <c r="AM554" s="1"/>
      <c r="AN554" s="1"/>
      <c r="AO554" s="1"/>
      <c r="AP554" s="1"/>
      <c r="AQ554" s="1"/>
      <c r="AR554" s="1"/>
      <c r="AS554" s="1"/>
      <c r="AT554" s="1"/>
      <c r="AU554" s="1"/>
      <c r="AV554" s="1"/>
      <c r="AW554" s="1"/>
      <c r="AX554" s="1"/>
      <c r="AY554" s="1"/>
    </row>
    <row r="555" spans="1:51" ht="19.95" customHeight="1">
      <c r="A555" s="199"/>
      <c r="B555" s="24"/>
      <c r="C555" s="24"/>
      <c r="D555" s="24"/>
      <c r="E555" s="1332"/>
      <c r="F555" s="1332"/>
      <c r="G555" s="1332"/>
      <c r="H555" s="1332"/>
      <c r="I555" s="1332"/>
      <c r="J555" s="1332"/>
      <c r="K555" s="1332"/>
      <c r="L555" s="1332"/>
      <c r="M555" s="1332"/>
      <c r="N555" s="200"/>
      <c r="O555" s="199"/>
      <c r="P555" s="24"/>
      <c r="Q555" s="24"/>
      <c r="R555" s="398"/>
      <c r="S555" s="398"/>
      <c r="T555" s="398"/>
      <c r="U555" s="398"/>
      <c r="V555" s="398"/>
      <c r="W555" s="398"/>
      <c r="X555" s="398"/>
      <c r="Y555" s="398"/>
      <c r="Z555" s="398"/>
      <c r="AA555" s="398"/>
      <c r="AB555" s="200"/>
      <c r="AC555" s="1"/>
      <c r="AD555" s="1"/>
      <c r="AE555" s="1"/>
      <c r="AF555" s="1"/>
      <c r="AG555" s="1"/>
      <c r="AH555" s="1"/>
      <c r="AI555" s="1"/>
      <c r="AJ555" s="1"/>
      <c r="AK555" s="1"/>
      <c r="AL555" s="1"/>
      <c r="AM555" s="1"/>
      <c r="AN555" s="1"/>
      <c r="AO555" s="1"/>
      <c r="AP555" s="1"/>
      <c r="AQ555" s="1"/>
      <c r="AR555" s="1"/>
      <c r="AS555" s="1"/>
      <c r="AT555" s="1"/>
      <c r="AU555" s="1"/>
      <c r="AV555" s="1"/>
      <c r="AW555" s="1"/>
      <c r="AX555" s="1"/>
      <c r="AY555" s="1"/>
    </row>
    <row r="556" spans="1:51" ht="19.95" customHeight="1">
      <c r="A556" s="199"/>
      <c r="B556" s="24"/>
      <c r="C556" s="24"/>
      <c r="D556" s="24"/>
      <c r="E556" s="1332"/>
      <c r="F556" s="1332"/>
      <c r="G556" s="1332"/>
      <c r="H556" s="1332"/>
      <c r="I556" s="1332"/>
      <c r="J556" s="1332"/>
      <c r="K556" s="1332"/>
      <c r="L556" s="1332"/>
      <c r="M556" s="1332"/>
      <c r="N556" s="200"/>
      <c r="O556" s="199"/>
      <c r="P556" s="24"/>
      <c r="Q556" s="24"/>
      <c r="R556" s="398"/>
      <c r="S556" s="398"/>
      <c r="T556" s="398"/>
      <c r="U556" s="398"/>
      <c r="V556" s="398"/>
      <c r="W556" s="398"/>
      <c r="X556" s="398"/>
      <c r="Y556" s="398"/>
      <c r="Z556" s="398"/>
      <c r="AA556" s="398"/>
      <c r="AB556" s="200"/>
      <c r="AC556" s="1"/>
      <c r="AD556" s="1"/>
      <c r="AE556" s="1"/>
      <c r="AF556" s="1"/>
      <c r="AG556" s="1"/>
      <c r="AH556" s="1"/>
      <c r="AI556" s="1"/>
      <c r="AJ556" s="1"/>
      <c r="AK556" s="1"/>
      <c r="AL556" s="1"/>
      <c r="AM556" s="1"/>
      <c r="AN556" s="1"/>
      <c r="AO556" s="1"/>
      <c r="AP556" s="1"/>
      <c r="AQ556" s="1"/>
      <c r="AR556" s="1"/>
      <c r="AS556" s="1"/>
      <c r="AT556" s="1"/>
      <c r="AU556" s="1"/>
      <c r="AV556" s="1"/>
      <c r="AW556" s="1"/>
      <c r="AX556" s="1"/>
      <c r="AY556" s="1"/>
    </row>
    <row r="557" spans="1:51" ht="10.050000000000001" customHeight="1">
      <c r="A557" s="199"/>
      <c r="B557" s="24"/>
      <c r="C557" s="24"/>
      <c r="D557" s="24"/>
      <c r="E557" s="24"/>
      <c r="F557" s="391"/>
      <c r="G557" s="391"/>
      <c r="H557" s="391"/>
      <c r="I557" s="391"/>
      <c r="J557" s="391"/>
      <c r="K557" s="391"/>
      <c r="L557" s="391"/>
      <c r="M557" s="391"/>
      <c r="N557" s="200"/>
      <c r="O557" s="199"/>
      <c r="P557" s="24"/>
      <c r="Q557" s="24"/>
      <c r="R557" s="398"/>
      <c r="S557" s="398"/>
      <c r="T557" s="398"/>
      <c r="U557" s="398"/>
      <c r="V557" s="398"/>
      <c r="W557" s="398"/>
      <c r="X557" s="398"/>
      <c r="Y557" s="398"/>
      <c r="Z557" s="398"/>
      <c r="AA557" s="398"/>
      <c r="AB557" s="200"/>
      <c r="AC557" s="1"/>
      <c r="AD557" s="1"/>
      <c r="AE557" s="1"/>
      <c r="AF557" s="1"/>
      <c r="AG557" s="1"/>
      <c r="AH557" s="1"/>
      <c r="AI557" s="1"/>
      <c r="AJ557" s="1"/>
      <c r="AK557" s="1"/>
      <c r="AL557" s="1"/>
      <c r="AM557" s="1"/>
      <c r="AN557" s="1"/>
      <c r="AO557" s="1"/>
      <c r="AP557" s="1"/>
      <c r="AQ557" s="1"/>
      <c r="AR557" s="1"/>
      <c r="AS557" s="1"/>
      <c r="AT557" s="1"/>
      <c r="AU557" s="1"/>
      <c r="AV557" s="1"/>
      <c r="AW557" s="1"/>
      <c r="AX557" s="1"/>
      <c r="AY557" s="1"/>
    </row>
    <row r="558" spans="1:51" ht="19.95" customHeight="1">
      <c r="A558" s="199"/>
      <c r="B558" s="1277" t="s">
        <v>1751</v>
      </c>
      <c r="C558" s="1277"/>
      <c r="D558" s="1277"/>
      <c r="E558" s="1277"/>
      <c r="F558" s="1277"/>
      <c r="G558" s="1277"/>
      <c r="H558" s="1277"/>
      <c r="I558" s="1277"/>
      <c r="J558" s="24"/>
      <c r="K558" s="24"/>
      <c r="L558" s="24"/>
      <c r="M558" s="24"/>
      <c r="N558" s="200"/>
      <c r="O558" s="199"/>
      <c r="P558" s="24"/>
      <c r="Q558" s="24"/>
      <c r="R558" s="398"/>
      <c r="S558" s="398"/>
      <c r="T558" s="398"/>
      <c r="U558" s="398"/>
      <c r="V558" s="398"/>
      <c r="W558" s="398"/>
      <c r="X558" s="398"/>
      <c r="Y558" s="398"/>
      <c r="Z558" s="398"/>
      <c r="AA558" s="398"/>
      <c r="AB558" s="200"/>
      <c r="AC558" s="1"/>
      <c r="AD558" s="1"/>
      <c r="AE558" s="1"/>
      <c r="AF558" s="1"/>
      <c r="AG558" s="1"/>
      <c r="AH558" s="1"/>
      <c r="AI558" s="1"/>
      <c r="AJ558" s="1"/>
      <c r="AK558" s="1"/>
      <c r="AL558" s="1"/>
      <c r="AM558" s="1"/>
      <c r="AN558" s="1"/>
      <c r="AO558" s="1"/>
      <c r="AP558" s="1"/>
      <c r="AQ558" s="1"/>
      <c r="AR558" s="1"/>
      <c r="AS558" s="1"/>
      <c r="AT558" s="1"/>
      <c r="AU558" s="1"/>
      <c r="AV558" s="1"/>
      <c r="AW558" s="1"/>
      <c r="AX558" s="1"/>
      <c r="AY558" s="1"/>
    </row>
    <row r="559" spans="1:51" ht="19.95" customHeight="1">
      <c r="A559" s="199"/>
      <c r="B559" s="1277"/>
      <c r="C559" s="1277"/>
      <c r="D559" s="1277"/>
      <c r="E559" s="1277"/>
      <c r="F559" s="1277"/>
      <c r="G559" s="1277"/>
      <c r="H559" s="1277"/>
      <c r="I559" s="1277"/>
      <c r="J559" s="24"/>
      <c r="K559" s="24"/>
      <c r="L559" s="24"/>
      <c r="M559" s="24"/>
      <c r="N559" s="200"/>
      <c r="O559" s="199"/>
      <c r="P559" s="24"/>
      <c r="Q559" s="24"/>
      <c r="R559" s="398"/>
      <c r="S559" s="398"/>
      <c r="T559" s="398"/>
      <c r="U559" s="398"/>
      <c r="V559" s="398"/>
      <c r="W559" s="398"/>
      <c r="X559" s="398"/>
      <c r="Y559" s="398"/>
      <c r="Z559" s="398"/>
      <c r="AA559" s="398"/>
      <c r="AB559" s="200"/>
      <c r="AC559" s="1"/>
      <c r="AD559" s="1"/>
      <c r="AE559" s="1"/>
      <c r="AF559" s="1"/>
      <c r="AG559" s="1"/>
      <c r="AH559" s="1"/>
      <c r="AI559" s="1"/>
      <c r="AJ559" s="1"/>
      <c r="AK559" s="1"/>
      <c r="AL559" s="1"/>
      <c r="AM559" s="1"/>
      <c r="AN559" s="1"/>
      <c r="AO559" s="1"/>
      <c r="AP559" s="1"/>
      <c r="AQ559" s="1"/>
      <c r="AR559" s="1"/>
      <c r="AS559" s="1"/>
      <c r="AT559" s="1"/>
      <c r="AU559" s="1"/>
      <c r="AV559" s="1"/>
      <c r="AW559" s="1"/>
      <c r="AX559" s="1"/>
      <c r="AY559" s="1"/>
    </row>
    <row r="560" spans="1:51" ht="19.95" customHeight="1">
      <c r="A560" s="199"/>
      <c r="B560" s="1277"/>
      <c r="C560" s="1277"/>
      <c r="D560" s="1277"/>
      <c r="E560" s="1277"/>
      <c r="F560" s="1277"/>
      <c r="G560" s="1277"/>
      <c r="H560" s="1277"/>
      <c r="I560" s="1277"/>
      <c r="J560" s="24"/>
      <c r="K560" s="24"/>
      <c r="L560" s="24"/>
      <c r="M560" s="24"/>
      <c r="N560" s="200"/>
      <c r="O560" s="199"/>
      <c r="P560" s="24"/>
      <c r="Q560" s="24"/>
      <c r="R560" s="398"/>
      <c r="S560" s="398"/>
      <c r="T560" s="398"/>
      <c r="U560" s="398"/>
      <c r="V560" s="398"/>
      <c r="W560" s="398"/>
      <c r="X560" s="398"/>
      <c r="Y560" s="398"/>
      <c r="Z560" s="398"/>
      <c r="AA560" s="398"/>
      <c r="AB560" s="200"/>
      <c r="AC560" s="1"/>
      <c r="AD560" s="1"/>
      <c r="AE560" s="1"/>
      <c r="AF560" s="1"/>
      <c r="AG560" s="1"/>
      <c r="AH560" s="1"/>
      <c r="AI560" s="1"/>
      <c r="AJ560" s="1"/>
      <c r="AK560" s="1"/>
      <c r="AL560" s="1"/>
      <c r="AM560" s="1"/>
      <c r="AN560" s="1"/>
      <c r="AO560" s="1"/>
      <c r="AP560" s="1"/>
      <c r="AQ560" s="1"/>
      <c r="AR560" s="1"/>
      <c r="AS560" s="1"/>
      <c r="AT560" s="1"/>
      <c r="AU560" s="1"/>
      <c r="AV560" s="1"/>
      <c r="AW560" s="1"/>
      <c r="AX560" s="1"/>
      <c r="AY560" s="1"/>
    </row>
    <row r="561" spans="1:60" ht="19.95" customHeight="1">
      <c r="A561" s="199"/>
      <c r="B561" s="1277"/>
      <c r="C561" s="1277"/>
      <c r="D561" s="1277"/>
      <c r="E561" s="1277"/>
      <c r="F561" s="1277"/>
      <c r="G561" s="1277"/>
      <c r="H561" s="1277"/>
      <c r="I561" s="1277"/>
      <c r="J561" s="24"/>
      <c r="K561" s="24"/>
      <c r="L561" s="24"/>
      <c r="M561" s="24"/>
      <c r="N561" s="200"/>
      <c r="O561" s="199"/>
      <c r="P561" s="24"/>
      <c r="Q561" s="24"/>
      <c r="R561" s="398"/>
      <c r="S561" s="398"/>
      <c r="T561" s="398"/>
      <c r="U561" s="398"/>
      <c r="V561" s="398"/>
      <c r="W561" s="398"/>
      <c r="X561" s="398"/>
      <c r="Y561" s="398"/>
      <c r="Z561" s="398"/>
      <c r="AA561" s="398"/>
      <c r="AB561" s="200"/>
      <c r="AC561" s="1"/>
      <c r="AD561" s="1"/>
      <c r="AE561" s="1"/>
      <c r="AF561" s="1"/>
      <c r="AG561" s="1"/>
      <c r="AH561" s="1"/>
      <c r="AI561" s="1"/>
      <c r="AJ561" s="1"/>
      <c r="AK561" s="1"/>
      <c r="AL561" s="1"/>
      <c r="AM561" s="1"/>
      <c r="AN561" s="1"/>
      <c r="AO561" s="1"/>
      <c r="AP561" s="1"/>
      <c r="AQ561" s="1"/>
      <c r="AR561" s="1"/>
      <c r="AS561" s="1"/>
      <c r="AT561" s="1"/>
      <c r="AU561" s="1"/>
      <c r="AV561" s="1"/>
      <c r="AW561" s="1"/>
      <c r="AX561" s="1"/>
      <c r="AY561" s="1"/>
    </row>
    <row r="562" spans="1:60" ht="19.95" customHeight="1">
      <c r="A562" s="199"/>
      <c r="B562" s="1277"/>
      <c r="C562" s="1277"/>
      <c r="D562" s="1277"/>
      <c r="E562" s="1277"/>
      <c r="F562" s="1277"/>
      <c r="G562" s="1277"/>
      <c r="H562" s="1277"/>
      <c r="I562" s="1277"/>
      <c r="J562" s="24"/>
      <c r="K562" s="24"/>
      <c r="L562" s="24"/>
      <c r="M562" s="24"/>
      <c r="N562" s="200"/>
      <c r="O562" s="199"/>
      <c r="P562" s="24"/>
      <c r="Q562" s="24"/>
      <c r="R562" s="398"/>
      <c r="S562" s="398"/>
      <c r="T562" s="398"/>
      <c r="U562" s="398"/>
      <c r="V562" s="398"/>
      <c r="W562" s="398"/>
      <c r="X562" s="398"/>
      <c r="Y562" s="398"/>
      <c r="Z562" s="398"/>
      <c r="AA562" s="398"/>
      <c r="AB562" s="200"/>
      <c r="AC562" s="1"/>
      <c r="AD562" s="1"/>
      <c r="AE562" s="1"/>
      <c r="AF562" s="1"/>
      <c r="AG562" s="1"/>
      <c r="AH562" s="1"/>
      <c r="AI562" s="1"/>
      <c r="AJ562" s="1"/>
      <c r="AK562" s="1"/>
      <c r="AL562" s="1"/>
      <c r="AM562" s="1"/>
      <c r="AN562" s="1"/>
      <c r="AO562" s="1"/>
      <c r="AP562" s="1"/>
      <c r="AQ562" s="1"/>
      <c r="AR562" s="1"/>
      <c r="AS562" s="1"/>
      <c r="AT562" s="1"/>
      <c r="AU562" s="1"/>
      <c r="AV562" s="1"/>
      <c r="AW562" s="1"/>
      <c r="AX562" s="1"/>
      <c r="AY562" s="1"/>
    </row>
    <row r="563" spans="1:60" ht="19.95" customHeight="1">
      <c r="A563" s="199"/>
      <c r="B563" s="1277"/>
      <c r="C563" s="1277"/>
      <c r="D563" s="1277"/>
      <c r="E563" s="1277"/>
      <c r="F563" s="1277"/>
      <c r="G563" s="1277"/>
      <c r="H563" s="1277"/>
      <c r="I563" s="1277"/>
      <c r="J563" s="24"/>
      <c r="K563" s="24"/>
      <c r="L563" s="24"/>
      <c r="M563" s="24"/>
      <c r="N563" s="200"/>
      <c r="O563" s="199"/>
      <c r="P563" s="24"/>
      <c r="Q563" s="24"/>
      <c r="R563" s="398"/>
      <c r="S563" s="398"/>
      <c r="T563" s="398"/>
      <c r="U563" s="398"/>
      <c r="V563" s="398"/>
      <c r="W563" s="398"/>
      <c r="X563" s="398"/>
      <c r="Y563" s="398"/>
      <c r="Z563" s="398"/>
      <c r="AA563" s="398"/>
      <c r="AB563" s="200"/>
      <c r="AC563" s="1"/>
      <c r="AD563" s="1"/>
      <c r="AE563" s="1"/>
      <c r="AF563" s="1"/>
      <c r="AG563" s="1"/>
      <c r="AH563" s="1"/>
      <c r="AI563" s="1"/>
      <c r="AJ563" s="1"/>
      <c r="AK563" s="1"/>
      <c r="AL563" s="1"/>
      <c r="AM563" s="1"/>
      <c r="AN563" s="1"/>
      <c r="AO563" s="1"/>
      <c r="AP563" s="1"/>
      <c r="AQ563" s="1"/>
      <c r="AR563" s="1"/>
      <c r="AS563" s="1"/>
      <c r="AT563" s="1"/>
      <c r="AU563" s="1"/>
      <c r="AV563" s="1"/>
      <c r="AW563" s="1"/>
      <c r="AX563" s="1"/>
      <c r="AY563" s="1"/>
    </row>
    <row r="564" spans="1:60" ht="19.95" customHeight="1">
      <c r="A564" s="199"/>
      <c r="B564" s="1277"/>
      <c r="C564" s="1277"/>
      <c r="D564" s="1277"/>
      <c r="E564" s="1277"/>
      <c r="F564" s="1277"/>
      <c r="G564" s="1277"/>
      <c r="H564" s="1277"/>
      <c r="I564" s="1277"/>
      <c r="J564" s="24"/>
      <c r="K564" s="24"/>
      <c r="L564" s="24"/>
      <c r="M564" s="24"/>
      <c r="N564" s="200"/>
      <c r="O564" s="199"/>
      <c r="P564" s="24"/>
      <c r="Q564" s="24"/>
      <c r="R564" s="398"/>
      <c r="S564" s="398"/>
      <c r="T564" s="398"/>
      <c r="U564" s="398"/>
      <c r="V564" s="398"/>
      <c r="W564" s="398"/>
      <c r="X564" s="398"/>
      <c r="Y564" s="398"/>
      <c r="Z564" s="398"/>
      <c r="AA564" s="398"/>
      <c r="AB564" s="200"/>
      <c r="AC564" s="1"/>
      <c r="AD564" s="1"/>
      <c r="AE564" s="1"/>
      <c r="AF564" s="1"/>
      <c r="AG564" s="1"/>
      <c r="AH564" s="1"/>
      <c r="AI564" s="1"/>
      <c r="AJ564" s="1"/>
      <c r="AK564" s="1"/>
      <c r="AL564" s="1"/>
      <c r="AM564" s="1"/>
      <c r="AN564" s="1"/>
      <c r="AO564" s="1"/>
      <c r="AP564" s="1"/>
      <c r="AQ564" s="1"/>
      <c r="AR564" s="1"/>
      <c r="AS564" s="1"/>
      <c r="AT564" s="1"/>
      <c r="AU564" s="1"/>
      <c r="AV564" s="1"/>
      <c r="AW564" s="1"/>
      <c r="AX564" s="1"/>
      <c r="AY564" s="1"/>
    </row>
    <row r="565" spans="1:60" ht="15" customHeight="1">
      <c r="A565" s="199"/>
      <c r="B565" s="24"/>
      <c r="C565" s="24"/>
      <c r="D565" s="24"/>
      <c r="E565" s="24"/>
      <c r="F565" s="24"/>
      <c r="G565" s="24"/>
      <c r="H565" s="24"/>
      <c r="I565" s="24"/>
      <c r="J565" s="24"/>
      <c r="K565" s="24"/>
      <c r="L565" s="24"/>
      <c r="M565" s="24"/>
      <c r="N565" s="200"/>
      <c r="O565" s="199"/>
      <c r="P565" s="24"/>
      <c r="Q565" s="24"/>
      <c r="R565" s="398"/>
      <c r="S565" s="398"/>
      <c r="T565" s="398"/>
      <c r="U565" s="398"/>
      <c r="V565" s="398"/>
      <c r="W565" s="398"/>
      <c r="X565" s="398"/>
      <c r="Y565" s="398"/>
      <c r="Z565" s="398"/>
      <c r="AA565" s="398"/>
      <c r="AB565" s="200"/>
      <c r="AC565" s="1"/>
      <c r="AD565" s="1"/>
      <c r="AE565" s="1"/>
      <c r="AF565" s="1"/>
      <c r="AG565" s="1"/>
      <c r="AH565" s="1"/>
      <c r="AI565" s="1"/>
      <c r="AJ565" s="1"/>
      <c r="AK565" s="1"/>
      <c r="AL565" s="1"/>
      <c r="AM565" s="1"/>
      <c r="AN565" s="1"/>
      <c r="AO565" s="1"/>
      <c r="AP565" s="1"/>
      <c r="AQ565" s="1"/>
      <c r="AR565" s="1"/>
      <c r="AS565" s="1"/>
      <c r="AT565" s="1"/>
      <c r="AU565" s="1"/>
      <c r="AV565" s="1"/>
      <c r="AW565" s="1"/>
      <c r="AX565" s="1"/>
      <c r="AY565" s="1"/>
    </row>
    <row r="566" spans="1:60" ht="25.05" customHeight="1">
      <c r="A566" s="199"/>
      <c r="B566" s="1277" t="s">
        <v>2025</v>
      </c>
      <c r="C566" s="1277"/>
      <c r="D566" s="1277"/>
      <c r="E566" s="1277"/>
      <c r="F566" s="1277"/>
      <c r="G566" s="1277"/>
      <c r="H566" s="1277"/>
      <c r="I566" s="1277"/>
      <c r="J566" s="1277"/>
      <c r="K566" s="1277"/>
      <c r="L566" s="1277"/>
      <c r="M566" s="1277"/>
      <c r="N566" s="200"/>
      <c r="O566" s="199"/>
      <c r="P566" s="24"/>
      <c r="Q566" s="24"/>
      <c r="R566" s="398"/>
      <c r="S566" s="398"/>
      <c r="T566" s="398"/>
      <c r="U566" s="398"/>
      <c r="V566" s="398"/>
      <c r="W566" s="398"/>
      <c r="X566" s="398"/>
      <c r="Y566" s="398"/>
      <c r="Z566" s="398"/>
      <c r="AA566" s="398"/>
      <c r="AB566" s="200"/>
      <c r="AC566" s="1"/>
      <c r="AD566" s="1"/>
      <c r="AE566" s="1"/>
      <c r="AF566" s="1"/>
      <c r="AG566" s="1"/>
      <c r="AH566" s="1"/>
      <c r="AI566" s="1"/>
      <c r="AJ566" s="1"/>
      <c r="AK566" s="1"/>
      <c r="AL566" s="1"/>
      <c r="AM566" s="1"/>
      <c r="AN566" s="1"/>
      <c r="AO566" s="1"/>
      <c r="AP566" s="1"/>
      <c r="AQ566" s="1"/>
      <c r="AR566" s="1"/>
      <c r="AS566" s="1"/>
      <c r="AT566" s="1"/>
      <c r="AU566" s="1"/>
      <c r="AV566" s="1"/>
      <c r="AW566" s="1"/>
      <c r="AX566" s="1"/>
      <c r="AY566" s="1"/>
    </row>
    <row r="567" spans="1:60" ht="25.05" customHeight="1">
      <c r="A567" s="199"/>
      <c r="B567" s="1277"/>
      <c r="C567" s="1277"/>
      <c r="D567" s="1277"/>
      <c r="E567" s="1277"/>
      <c r="F567" s="1277"/>
      <c r="G567" s="1277"/>
      <c r="H567" s="1277"/>
      <c r="I567" s="1277"/>
      <c r="J567" s="1277"/>
      <c r="K567" s="1277"/>
      <c r="L567" s="1277"/>
      <c r="M567" s="1277"/>
      <c r="N567" s="200"/>
      <c r="O567" s="199"/>
      <c r="P567" s="24"/>
      <c r="Q567" s="24"/>
      <c r="R567" s="398"/>
      <c r="S567" s="398"/>
      <c r="T567" s="398"/>
      <c r="U567" s="398"/>
      <c r="V567" s="398"/>
      <c r="W567" s="398"/>
      <c r="X567" s="398"/>
      <c r="Y567" s="398"/>
      <c r="Z567" s="398"/>
      <c r="AA567" s="398"/>
      <c r="AB567" s="200"/>
      <c r="AC567" s="1"/>
      <c r="AD567" s="1"/>
      <c r="AE567" s="1"/>
      <c r="AF567" s="1"/>
      <c r="AG567" s="1"/>
      <c r="AH567" s="1"/>
      <c r="AI567" s="1"/>
      <c r="AJ567" s="1"/>
      <c r="AK567" s="1"/>
      <c r="AL567" s="1"/>
      <c r="AM567" s="1"/>
      <c r="AN567" s="1"/>
      <c r="AO567" s="1"/>
      <c r="AP567" s="1"/>
      <c r="AQ567" s="1"/>
      <c r="AR567" s="1"/>
      <c r="AS567" s="1"/>
      <c r="AT567" s="1"/>
      <c r="AU567" s="1"/>
      <c r="AV567" s="1"/>
      <c r="AW567" s="1"/>
      <c r="AX567" s="1"/>
      <c r="AY567" s="1"/>
    </row>
    <row r="568" spans="1:60" ht="25.05" customHeight="1">
      <c r="A568" s="199"/>
      <c r="B568" s="1277"/>
      <c r="C568" s="1277"/>
      <c r="D568" s="1277"/>
      <c r="E568" s="1277"/>
      <c r="F568" s="1277"/>
      <c r="G568" s="1277"/>
      <c r="H568" s="1277"/>
      <c r="I568" s="1277"/>
      <c r="J568" s="1277"/>
      <c r="K568" s="1277"/>
      <c r="L568" s="1277"/>
      <c r="M568" s="1277"/>
      <c r="N568" s="200"/>
      <c r="O568" s="199"/>
      <c r="P568" s="24"/>
      <c r="Q568" s="24"/>
      <c r="R568" s="398"/>
      <c r="S568" s="398"/>
      <c r="T568" s="398"/>
      <c r="U568" s="398"/>
      <c r="V568" s="398"/>
      <c r="W568" s="398"/>
      <c r="X568" s="398"/>
      <c r="Y568" s="398"/>
      <c r="Z568" s="398"/>
      <c r="AA568" s="398"/>
      <c r="AB568" s="200"/>
      <c r="AC568" s="1"/>
      <c r="AD568" s="1"/>
      <c r="AE568" s="1"/>
      <c r="AF568" s="1"/>
      <c r="AG568" s="1"/>
      <c r="AH568" s="1"/>
      <c r="AI568" s="1"/>
      <c r="AJ568" s="1"/>
      <c r="AK568" s="1"/>
      <c r="AL568" s="1"/>
      <c r="AM568" s="1"/>
      <c r="AN568" s="1"/>
      <c r="AO568" s="1"/>
      <c r="AP568" s="1"/>
      <c r="AQ568" s="1"/>
      <c r="AR568" s="1"/>
      <c r="AS568" s="1"/>
      <c r="AT568" s="1"/>
      <c r="AU568" s="1"/>
      <c r="AV568" s="1"/>
      <c r="AW568" s="1"/>
      <c r="AX568" s="1"/>
      <c r="AY568" s="1"/>
    </row>
    <row r="569" spans="1:60" ht="25.05" customHeight="1">
      <c r="A569" s="199"/>
      <c r="B569" s="1277"/>
      <c r="C569" s="1277"/>
      <c r="D569" s="1277"/>
      <c r="E569" s="1277"/>
      <c r="F569" s="1277"/>
      <c r="G569" s="1277"/>
      <c r="H569" s="1277"/>
      <c r="I569" s="1277"/>
      <c r="J569" s="1277"/>
      <c r="K569" s="1277"/>
      <c r="L569" s="1277"/>
      <c r="M569" s="1277"/>
      <c r="N569" s="200"/>
      <c r="O569" s="199"/>
      <c r="P569" s="24"/>
      <c r="Q569" s="24"/>
      <c r="R569" s="398"/>
      <c r="S569" s="398"/>
      <c r="T569" s="398"/>
      <c r="U569" s="398"/>
      <c r="V569" s="398"/>
      <c r="W569" s="398"/>
      <c r="X569" s="398"/>
      <c r="Y569" s="398"/>
      <c r="Z569" s="398"/>
      <c r="AA569" s="398"/>
      <c r="AB569" s="200"/>
      <c r="AC569" s="1"/>
      <c r="AD569" s="1"/>
      <c r="AE569" s="1"/>
      <c r="AF569" s="1"/>
      <c r="AG569" s="1"/>
      <c r="AH569" s="1"/>
      <c r="AI569" s="1"/>
      <c r="AJ569" s="1"/>
      <c r="AK569" s="1"/>
      <c r="AL569" s="1"/>
      <c r="AM569" s="1"/>
      <c r="AN569" s="1"/>
      <c r="AO569" s="1"/>
      <c r="AP569" s="1"/>
      <c r="AQ569" s="1"/>
      <c r="AR569" s="1"/>
      <c r="AS569" s="1"/>
      <c r="AT569" s="1"/>
      <c r="AU569" s="1"/>
      <c r="AV569" s="1"/>
      <c r="AW569" s="1"/>
      <c r="AX569" s="1"/>
      <c r="AY569" s="1"/>
    </row>
    <row r="570" spans="1:60" ht="10.050000000000001" customHeight="1">
      <c r="A570" s="199"/>
      <c r="B570" s="24"/>
      <c r="C570" s="24"/>
      <c r="D570" s="24"/>
      <c r="E570" s="24"/>
      <c r="F570" s="24"/>
      <c r="G570" s="24"/>
      <c r="H570" s="24"/>
      <c r="I570" s="24"/>
      <c r="J570" s="24"/>
      <c r="K570" s="24"/>
      <c r="L570" s="24"/>
      <c r="M570" s="24"/>
      <c r="N570" s="200"/>
      <c r="O570" s="199"/>
      <c r="P570" s="24"/>
      <c r="Q570" s="24"/>
      <c r="R570" s="398"/>
      <c r="S570" s="398"/>
      <c r="T570" s="398"/>
      <c r="U570" s="398"/>
      <c r="V570" s="398"/>
      <c r="W570" s="398"/>
      <c r="X570" s="398"/>
      <c r="Y570" s="398"/>
      <c r="Z570" s="398"/>
      <c r="AA570" s="398"/>
      <c r="AB570" s="200"/>
      <c r="AC570" s="1"/>
      <c r="AD570" s="1"/>
      <c r="AE570" s="1"/>
      <c r="AF570" s="1"/>
      <c r="AG570" s="1"/>
      <c r="AH570" s="1"/>
      <c r="AI570" s="1"/>
      <c r="AJ570" s="1"/>
      <c r="AK570" s="1"/>
      <c r="AL570" s="1"/>
      <c r="AM570" s="1"/>
      <c r="AN570" s="1"/>
      <c r="AO570" s="1"/>
      <c r="AP570" s="1"/>
      <c r="AQ570" s="1"/>
      <c r="AR570" s="1"/>
      <c r="AS570" s="1"/>
      <c r="AT570" s="1"/>
      <c r="AU570" s="1"/>
      <c r="AV570" s="1"/>
      <c r="AW570" s="1"/>
      <c r="AX570" s="1"/>
      <c r="AY570" s="1"/>
    </row>
    <row r="571" spans="1:60" ht="30" customHeight="1">
      <c r="A571" s="210" t="s">
        <v>1148</v>
      </c>
      <c r="B571" s="396" t="s">
        <v>2017</v>
      </c>
      <c r="C571" s="582"/>
      <c r="D571" s="582"/>
      <c r="E571" s="583"/>
      <c r="F571" s="584"/>
      <c r="G571" s="582"/>
      <c r="H571" s="582"/>
      <c r="I571" s="582"/>
      <c r="J571" s="582"/>
      <c r="K571" s="373"/>
      <c r="L571" s="373"/>
      <c r="M571" s="373"/>
      <c r="N571" s="211" t="s">
        <v>1149</v>
      </c>
      <c r="O571" s="372"/>
      <c r="P571" s="396" t="s">
        <v>1273</v>
      </c>
      <c r="Q571" s="373"/>
      <c r="R571" s="373"/>
      <c r="S571" s="373"/>
      <c r="T571" s="373"/>
      <c r="U571" s="373"/>
      <c r="V571" s="373"/>
      <c r="W571" s="373"/>
      <c r="X571" s="373"/>
      <c r="Y571" s="373"/>
      <c r="Z571" s="373"/>
      <c r="AA571" s="373"/>
      <c r="AB571" s="211" t="s">
        <v>1149</v>
      </c>
      <c r="AC571" s="577"/>
      <c r="AD571" s="1"/>
      <c r="AE571" s="577"/>
      <c r="AF571" s="577"/>
      <c r="AG571" s="577"/>
      <c r="AH571" s="577"/>
      <c r="AI571" s="577"/>
      <c r="AJ571" s="577"/>
      <c r="AK571" s="577"/>
      <c r="AL571" s="577"/>
      <c r="AM571" s="577"/>
      <c r="AN571" s="577"/>
      <c r="AO571" s="577"/>
      <c r="AP571" s="577"/>
      <c r="AQ571" s="577"/>
      <c r="AR571" s="577"/>
      <c r="AS571" s="577"/>
      <c r="AT571" s="577"/>
      <c r="AU571" s="577"/>
      <c r="AV571" s="577"/>
      <c r="AW571" s="577"/>
      <c r="AX571" s="577"/>
      <c r="AY571" s="577"/>
    </row>
    <row r="572" spans="1:60" ht="10.050000000000001" customHeight="1">
      <c r="A572" s="199"/>
      <c r="B572" s="24"/>
      <c r="C572" s="24"/>
      <c r="D572" s="24"/>
      <c r="E572" s="24"/>
      <c r="F572" s="24"/>
      <c r="G572" s="24"/>
      <c r="H572" s="24"/>
      <c r="I572" s="24"/>
      <c r="J572" s="24"/>
      <c r="K572" s="24"/>
      <c r="L572" s="24"/>
      <c r="M572" s="24"/>
      <c r="N572" s="200"/>
      <c r="O572" s="199"/>
      <c r="P572" s="24"/>
      <c r="Q572" s="24"/>
      <c r="R572" s="398"/>
      <c r="S572" s="398"/>
      <c r="T572" s="398"/>
      <c r="U572" s="398"/>
      <c r="V572" s="398"/>
      <c r="W572" s="398"/>
      <c r="X572" s="398"/>
      <c r="Y572" s="398"/>
      <c r="Z572" s="398"/>
      <c r="AA572" s="398"/>
      <c r="AB572" s="200"/>
      <c r="AC572" s="1"/>
      <c r="AD572" s="1"/>
      <c r="AE572" s="1"/>
      <c r="AF572" s="1"/>
      <c r="AG572" s="1"/>
      <c r="AH572" s="1"/>
      <c r="AI572" s="1"/>
      <c r="AJ572" s="1"/>
      <c r="AK572" s="1"/>
      <c r="AL572" s="1"/>
      <c r="AM572" s="1"/>
      <c r="AN572" s="1"/>
      <c r="AO572" s="1"/>
      <c r="AP572" s="1"/>
      <c r="AQ572" s="1"/>
      <c r="AR572" s="1"/>
      <c r="AS572" s="1"/>
      <c r="AT572" s="1"/>
      <c r="AU572" s="1"/>
      <c r="AV572" s="1"/>
      <c r="AW572" s="1"/>
      <c r="AX572" s="1"/>
      <c r="AY572" s="1"/>
    </row>
    <row r="573" spans="1:60" ht="19.95" customHeight="1">
      <c r="A573" s="199"/>
      <c r="B573" s="586" t="s">
        <v>2018</v>
      </c>
      <c r="C573" s="586"/>
      <c r="D573" s="586"/>
      <c r="E573" s="586"/>
      <c r="F573" s="586"/>
      <c r="G573" s="586"/>
      <c r="H573" s="586"/>
      <c r="I573" s="586"/>
      <c r="J573" s="586"/>
      <c r="K573" s="586"/>
      <c r="L573" s="586"/>
      <c r="M573" s="24"/>
      <c r="N573" s="200"/>
      <c r="O573" s="199"/>
      <c r="P573" s="24"/>
      <c r="Q573" s="24"/>
      <c r="R573" s="398"/>
      <c r="S573" s="398"/>
      <c r="T573" s="398"/>
      <c r="U573" s="398"/>
      <c r="V573" s="398"/>
      <c r="W573" s="398"/>
      <c r="X573" s="398"/>
      <c r="Y573" s="398"/>
      <c r="Z573" s="398"/>
      <c r="AA573" s="398"/>
      <c r="AB573" s="200"/>
      <c r="AC573" s="1"/>
      <c r="AD573" s="1"/>
      <c r="AE573" s="1"/>
      <c r="AF573" s="1"/>
      <c r="AG573" s="1"/>
      <c r="AH573" s="1"/>
      <c r="AI573" s="1"/>
      <c r="AJ573" s="1"/>
      <c r="AK573" s="1"/>
      <c r="AL573" s="1"/>
      <c r="AM573" s="1"/>
      <c r="AN573" s="1"/>
      <c r="AO573" s="1"/>
      <c r="AP573" s="1"/>
      <c r="AQ573" s="1"/>
      <c r="AR573" s="1"/>
      <c r="AS573" s="1"/>
      <c r="AT573" s="1"/>
      <c r="AU573" s="1"/>
      <c r="AV573" s="1"/>
      <c r="AW573" s="1"/>
      <c r="AX573" s="1"/>
      <c r="AY573" s="1"/>
    </row>
    <row r="574" spans="1:60" ht="4.95" customHeight="1">
      <c r="A574" s="199"/>
      <c r="B574" s="24"/>
      <c r="C574" s="24"/>
      <c r="D574" s="24"/>
      <c r="E574" s="24"/>
      <c r="F574" s="24"/>
      <c r="G574" s="24"/>
      <c r="H574" s="24"/>
      <c r="I574" s="24"/>
      <c r="J574" s="24"/>
      <c r="K574" s="24"/>
      <c r="L574" s="24"/>
      <c r="M574" s="24"/>
      <c r="N574" s="200"/>
      <c r="O574" s="199"/>
      <c r="P574" s="24"/>
      <c r="Q574" s="24"/>
      <c r="R574" s="398"/>
      <c r="S574" s="398"/>
      <c r="T574" s="398"/>
      <c r="U574" s="398"/>
      <c r="V574" s="398"/>
      <c r="W574" s="398"/>
      <c r="X574" s="398"/>
      <c r="Y574" s="398"/>
      <c r="Z574" s="398"/>
      <c r="AA574" s="398"/>
      <c r="AB574" s="200"/>
      <c r="AC574" s="1"/>
      <c r="AD574" s="1"/>
      <c r="AE574" s="1"/>
      <c r="AF574" s="1"/>
      <c r="AG574" s="1"/>
      <c r="AH574" s="1"/>
      <c r="AI574" s="1"/>
      <c r="AJ574" s="1"/>
      <c r="AK574" s="1"/>
      <c r="AL574" s="1"/>
      <c r="AM574" s="1"/>
      <c r="AN574" s="1"/>
      <c r="AO574" s="1"/>
      <c r="AP574" s="1"/>
      <c r="AQ574" s="1"/>
      <c r="AR574" s="1"/>
      <c r="AS574" s="1"/>
      <c r="AT574" s="1"/>
      <c r="AU574" s="1"/>
      <c r="AV574" s="1"/>
      <c r="AW574" s="1"/>
      <c r="AX574" s="1"/>
      <c r="AY574" s="1"/>
    </row>
    <row r="575" spans="1:60" ht="19.95" customHeight="1">
      <c r="A575" s="199"/>
      <c r="B575" s="1299" t="s">
        <v>1769</v>
      </c>
      <c r="C575" s="1299"/>
      <c r="D575" s="1299"/>
      <c r="E575" s="1299"/>
      <c r="F575" s="1299"/>
      <c r="G575" s="1299"/>
      <c r="H575" s="1299"/>
      <c r="I575" s="1299"/>
      <c r="J575" s="1299"/>
      <c r="K575" s="1299"/>
      <c r="L575" s="1299"/>
      <c r="M575" s="1299"/>
      <c r="N575" s="200"/>
      <c r="O575" s="199"/>
      <c r="P575" s="24"/>
      <c r="Q575" s="24"/>
      <c r="R575" s="398"/>
      <c r="S575" s="398"/>
      <c r="T575" s="398"/>
      <c r="U575" s="398"/>
      <c r="V575" s="398"/>
      <c r="W575" s="398"/>
      <c r="X575" s="398"/>
      <c r="Y575" s="398"/>
      <c r="Z575" s="398"/>
      <c r="AA575" s="398"/>
      <c r="AB575" s="200"/>
      <c r="AC575" s="1"/>
      <c r="AD575" s="1"/>
      <c r="AE575" s="1"/>
      <c r="AF575" s="1"/>
      <c r="AG575" s="1"/>
      <c r="AH575" s="1"/>
      <c r="AI575" s="1"/>
      <c r="AJ575" s="1"/>
      <c r="AK575" s="1"/>
      <c r="AL575" s="1"/>
      <c r="AM575" s="1"/>
      <c r="AN575" s="1"/>
      <c r="AO575" s="1"/>
      <c r="AP575" s="1"/>
      <c r="AQ575" s="1"/>
      <c r="AR575" s="1"/>
      <c r="AS575" s="1"/>
      <c r="AT575" s="1"/>
      <c r="AU575" s="1"/>
      <c r="AV575" s="1"/>
      <c r="AW575" s="1"/>
      <c r="AX575" s="1"/>
      <c r="AY575" s="1"/>
      <c r="BF575" s="459" t="str">
        <f>CONCATENATE(BH575,BI575,BJ575,BK575,BL575,BM575,BN575,BO575)</f>
        <v/>
      </c>
      <c r="BH575" s="469"/>
    </row>
    <row r="576" spans="1:60" ht="19.95" customHeight="1">
      <c r="A576" s="199"/>
      <c r="B576" s="1299"/>
      <c r="C576" s="1299"/>
      <c r="D576" s="1299"/>
      <c r="E576" s="1299"/>
      <c r="F576" s="1299"/>
      <c r="G576" s="1299"/>
      <c r="H576" s="1299"/>
      <c r="I576" s="1299"/>
      <c r="J576" s="1299"/>
      <c r="K576" s="1299"/>
      <c r="L576" s="1299"/>
      <c r="M576" s="1299"/>
      <c r="N576" s="200"/>
      <c r="O576" s="199"/>
      <c r="P576" s="24"/>
      <c r="Q576" s="24"/>
      <c r="R576" s="398"/>
      <c r="S576" s="398"/>
      <c r="T576" s="398"/>
      <c r="U576" s="398"/>
      <c r="V576" s="398"/>
      <c r="W576" s="398"/>
      <c r="X576" s="398"/>
      <c r="Y576" s="398"/>
      <c r="Z576" s="398"/>
      <c r="AA576" s="398"/>
      <c r="AB576" s="200"/>
      <c r="AC576" s="1"/>
      <c r="AD576" s="1"/>
      <c r="AE576" s="1"/>
      <c r="AF576" s="1"/>
      <c r="AG576" s="1"/>
      <c r="AH576" s="1"/>
      <c r="AI576" s="1"/>
      <c r="AJ576" s="1"/>
      <c r="AK576" s="1"/>
      <c r="AL576" s="1"/>
      <c r="AM576" s="1"/>
      <c r="AN576" s="1"/>
      <c r="AO576" s="1"/>
      <c r="AP576" s="1"/>
      <c r="AQ576" s="1"/>
      <c r="AR576" s="1"/>
      <c r="AS576" s="1"/>
      <c r="AT576" s="1"/>
      <c r="AU576" s="1"/>
      <c r="AV576" s="1"/>
      <c r="AW576" s="1"/>
      <c r="AX576" s="1"/>
      <c r="AY576" s="1"/>
    </row>
    <row r="577" spans="1:62" ht="19.95" customHeight="1">
      <c r="A577" s="199"/>
      <c r="B577" s="1299"/>
      <c r="C577" s="1299"/>
      <c r="D577" s="1299"/>
      <c r="E577" s="1299"/>
      <c r="F577" s="1299"/>
      <c r="G577" s="1299"/>
      <c r="H577" s="1299"/>
      <c r="I577" s="1299"/>
      <c r="J577" s="1299"/>
      <c r="K577" s="1299"/>
      <c r="L577" s="1299"/>
      <c r="M577" s="1299"/>
      <c r="N577" s="200"/>
      <c r="O577" s="199"/>
      <c r="P577" s="24"/>
      <c r="Q577" s="24"/>
      <c r="R577" s="398"/>
      <c r="S577" s="398"/>
      <c r="T577" s="398"/>
      <c r="U577" s="398"/>
      <c r="V577" s="398"/>
      <c r="W577" s="398"/>
      <c r="X577" s="398"/>
      <c r="Y577" s="398"/>
      <c r="Z577" s="398"/>
      <c r="AA577" s="398"/>
      <c r="AB577" s="200"/>
      <c r="AC577" s="1"/>
      <c r="AD577" s="1"/>
      <c r="AE577" s="1"/>
      <c r="AF577" s="1"/>
      <c r="AG577" s="1"/>
      <c r="AH577" s="1"/>
      <c r="AI577" s="1"/>
      <c r="AJ577" s="1"/>
      <c r="AK577" s="1"/>
      <c r="AL577" s="1"/>
      <c r="AM577" s="1"/>
      <c r="AN577" s="1"/>
      <c r="AO577" s="1"/>
      <c r="AP577" s="1"/>
      <c r="AQ577" s="1"/>
      <c r="AR577" s="1"/>
      <c r="AS577" s="1"/>
      <c r="AT577" s="1"/>
      <c r="AU577" s="1"/>
      <c r="AV577" s="1"/>
      <c r="AW577" s="1"/>
      <c r="AX577" s="1"/>
      <c r="AY577" s="1"/>
    </row>
    <row r="578" spans="1:62" ht="19.95" customHeight="1">
      <c r="A578" s="199"/>
      <c r="B578" s="1299"/>
      <c r="C578" s="1299"/>
      <c r="D578" s="1299"/>
      <c r="E578" s="1299"/>
      <c r="F578" s="1299"/>
      <c r="G578" s="1299"/>
      <c r="H578" s="1299"/>
      <c r="I578" s="1299"/>
      <c r="J578" s="1299"/>
      <c r="K578" s="1299"/>
      <c r="L578" s="1299"/>
      <c r="M578" s="1299"/>
      <c r="N578" s="200"/>
      <c r="O578" s="199"/>
      <c r="P578" s="24"/>
      <c r="Q578" s="24"/>
      <c r="R578" s="398"/>
      <c r="S578" s="398"/>
      <c r="T578" s="398"/>
      <c r="U578" s="398"/>
      <c r="V578" s="398"/>
      <c r="W578" s="398"/>
      <c r="X578" s="398"/>
      <c r="Y578" s="398"/>
      <c r="Z578" s="398"/>
      <c r="AA578" s="398"/>
      <c r="AB578" s="200"/>
      <c r="AC578" s="1"/>
      <c r="AD578" s="1"/>
      <c r="AE578" s="1"/>
      <c r="AF578" s="1"/>
      <c r="AG578" s="1"/>
      <c r="AH578" s="1"/>
      <c r="AI578" s="1"/>
      <c r="AJ578" s="1"/>
      <c r="AK578" s="1"/>
      <c r="AL578" s="1"/>
      <c r="AM578" s="1"/>
      <c r="AN578" s="1"/>
      <c r="AO578" s="1"/>
      <c r="AP578" s="1"/>
      <c r="AQ578" s="1"/>
      <c r="AR578" s="1"/>
      <c r="AS578" s="1"/>
      <c r="AT578" s="1"/>
      <c r="AU578" s="1"/>
      <c r="AV578" s="1"/>
      <c r="AW578" s="1"/>
      <c r="AX578" s="1"/>
      <c r="AY578" s="1"/>
      <c r="BF578" s="595" t="str">
        <f>IF(OR($I$1094=0,$I$1096=0,$B$1124=""),BH578,BF580)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BH578" s="465"/>
    </row>
    <row r="579" spans="1:62" ht="4.95" customHeight="1">
      <c r="A579" s="199"/>
      <c r="B579" s="24"/>
      <c r="C579" s="24"/>
      <c r="D579" s="24"/>
      <c r="E579" s="24"/>
      <c r="F579" s="24"/>
      <c r="G579" s="24"/>
      <c r="H579" s="24"/>
      <c r="I579" s="24"/>
      <c r="J579" s="24"/>
      <c r="K579" s="24"/>
      <c r="L579" s="24"/>
      <c r="M579" s="24"/>
      <c r="N579" s="200"/>
      <c r="O579" s="199"/>
      <c r="P579" s="24"/>
      <c r="Q579" s="24"/>
      <c r="R579" s="398"/>
      <c r="S579" s="398"/>
      <c r="T579" s="398"/>
      <c r="U579" s="398"/>
      <c r="V579" s="398"/>
      <c r="W579" s="398"/>
      <c r="X579" s="398"/>
      <c r="Y579" s="398"/>
      <c r="Z579" s="398"/>
      <c r="AA579" s="398"/>
      <c r="AB579" s="200"/>
      <c r="AC579" s="1"/>
      <c r="AD579" s="1"/>
      <c r="AE579" s="1"/>
      <c r="AF579" s="1"/>
      <c r="AG579" s="1"/>
      <c r="AH579" s="1"/>
      <c r="AI579" s="1"/>
      <c r="AJ579" s="1"/>
      <c r="AK579" s="1"/>
      <c r="AL579" s="1"/>
      <c r="AM579" s="1"/>
      <c r="AN579" s="1"/>
      <c r="AO579" s="1"/>
      <c r="AP579" s="1"/>
      <c r="AQ579" s="1"/>
      <c r="AR579" s="1"/>
      <c r="AS579" s="1"/>
      <c r="AT579" s="1"/>
      <c r="AU579" s="1"/>
      <c r="AV579" s="1"/>
      <c r="AW579" s="1"/>
      <c r="AX579" s="1"/>
      <c r="AY579" s="1"/>
    </row>
    <row r="580" spans="1:62" ht="22.95" customHeight="1">
      <c r="A580" s="199"/>
      <c r="B580" s="1299" t="str">
        <f>BF580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C580" s="1299"/>
      <c r="D580" s="1299"/>
      <c r="E580" s="1299"/>
      <c r="F580" s="1299"/>
      <c r="G580" s="1299"/>
      <c r="H580" s="1299"/>
      <c r="I580" s="1299"/>
      <c r="J580" s="1299"/>
      <c r="K580" s="1299"/>
      <c r="L580" s="1299"/>
      <c r="M580" s="1299"/>
      <c r="N580" s="200"/>
      <c r="O580" s="199"/>
      <c r="P580" s="24"/>
      <c r="Q580" s="24"/>
      <c r="R580" s="398"/>
      <c r="S580" s="398"/>
      <c r="T580" s="398"/>
      <c r="U580" s="398"/>
      <c r="V580" s="398"/>
      <c r="W580" s="398"/>
      <c r="X580" s="398"/>
      <c r="Y580" s="398"/>
      <c r="Z580" s="398"/>
      <c r="AA580" s="398"/>
      <c r="AB580" s="200"/>
      <c r="AC580" s="1"/>
      <c r="AD580" s="1"/>
      <c r="AE580" s="1"/>
      <c r="AF580" s="1"/>
      <c r="AG580" s="1"/>
      <c r="AH580" s="1"/>
      <c r="AI580" s="1"/>
      <c r="AJ580" s="1"/>
      <c r="AK580" s="1"/>
      <c r="AL580" s="1"/>
      <c r="AM580" s="1"/>
      <c r="AN580" s="1"/>
      <c r="AO580" s="1"/>
      <c r="AP580" s="1"/>
      <c r="AQ580" s="1"/>
      <c r="AR580" s="1"/>
      <c r="AS580" s="1"/>
      <c r="AT580" s="1"/>
      <c r="AU580" s="1"/>
      <c r="AV580" s="1"/>
      <c r="AW580" s="1"/>
      <c r="AX580" s="1"/>
      <c r="AY580" s="1"/>
      <c r="BF580" s="459" t="str">
        <f>CONCATENATE(BH580,BI580,BJ580,BK580,BL580,BM580,BN580,BO580)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BH580" s="567" t="s">
        <v>1813</v>
      </c>
      <c r="BI580" s="2" t="str">
        <f>IF(E1160=1,BI581,BI582)</f>
        <v>That includes addressing any client distrust in your expertise.</v>
      </c>
      <c r="BJ580" s="567" t="s">
        <v>1814</v>
      </c>
    </row>
    <row r="581" spans="1:62" ht="22.95" customHeight="1">
      <c r="A581" s="199"/>
      <c r="B581" s="1299"/>
      <c r="C581" s="1299"/>
      <c r="D581" s="1299"/>
      <c r="E581" s="1299"/>
      <c r="F581" s="1299"/>
      <c r="G581" s="1299"/>
      <c r="H581" s="1299"/>
      <c r="I581" s="1299"/>
      <c r="J581" s="1299"/>
      <c r="K581" s="1299"/>
      <c r="L581" s="1299"/>
      <c r="M581" s="1299"/>
      <c r="N581" s="200"/>
      <c r="O581" s="199"/>
      <c r="P581" s="24"/>
      <c r="Q581" s="24"/>
      <c r="R581" s="398"/>
      <c r="S581" s="398"/>
      <c r="T581" s="398"/>
      <c r="U581" s="398"/>
      <c r="V581" s="398"/>
      <c r="W581" s="398"/>
      <c r="X581" s="398"/>
      <c r="Y581" s="398"/>
      <c r="Z581" s="398"/>
      <c r="AA581" s="398"/>
      <c r="AB581" s="200"/>
      <c r="AC581" s="1"/>
      <c r="AD581" s="1"/>
      <c r="AE581" s="1"/>
      <c r="AF581" s="1"/>
      <c r="AG581" s="1"/>
      <c r="AH581" s="1"/>
      <c r="AI581" s="1"/>
      <c r="AJ581" s="1"/>
      <c r="AK581" s="1"/>
      <c r="AL581" s="1"/>
      <c r="AM581" s="1"/>
      <c r="AN581" s="1"/>
      <c r="AO581" s="1"/>
      <c r="AP581" s="1"/>
      <c r="AQ581" s="1"/>
      <c r="AR581" s="1"/>
      <c r="AS581" s="1"/>
      <c r="AT581" s="1"/>
      <c r="AU581" s="1"/>
      <c r="AV581" s="1"/>
      <c r="AW581" s="1"/>
      <c r="AX581" s="1"/>
      <c r="AY581" s="1"/>
      <c r="BI581" s="2" t="s">
        <v>1816</v>
      </c>
    </row>
    <row r="582" spans="1:62" ht="22.95" customHeight="1">
      <c r="A582" s="199"/>
      <c r="B582" s="1299"/>
      <c r="C582" s="1299"/>
      <c r="D582" s="1299"/>
      <c r="E582" s="1299"/>
      <c r="F582" s="1299"/>
      <c r="G582" s="1299"/>
      <c r="H582" s="1299"/>
      <c r="I582" s="1299"/>
      <c r="J582" s="1299"/>
      <c r="K582" s="1299"/>
      <c r="L582" s="1299"/>
      <c r="M582" s="1299"/>
      <c r="N582" s="200"/>
      <c r="O582" s="199"/>
      <c r="P582" s="24"/>
      <c r="Q582" s="24"/>
      <c r="R582" s="398"/>
      <c r="S582" s="398"/>
      <c r="T582" s="398"/>
      <c r="U582" s="398"/>
      <c r="V582" s="398"/>
      <c r="W582" s="398"/>
      <c r="X582" s="398"/>
      <c r="Y582" s="398"/>
      <c r="Z582" s="398"/>
      <c r="AA582" s="398"/>
      <c r="AB582" s="200"/>
      <c r="AC582" s="1"/>
      <c r="AD582" s="1"/>
      <c r="AE582" s="1"/>
      <c r="AF582" s="1"/>
      <c r="AG582" s="1"/>
      <c r="AH582" s="1"/>
      <c r="AI582" s="1"/>
      <c r="AJ582" s="1"/>
      <c r="AK582" s="1"/>
      <c r="AL582" s="1"/>
      <c r="AM582" s="1"/>
      <c r="AN582" s="1"/>
      <c r="AO582" s="1"/>
      <c r="AP582" s="1"/>
      <c r="AQ582" s="1"/>
      <c r="AR582" s="1"/>
      <c r="AS582" s="1"/>
      <c r="AT582" s="1"/>
      <c r="AU582" s="1"/>
      <c r="AV582" s="1"/>
      <c r="AW582" s="1"/>
      <c r="AX582" s="1"/>
      <c r="AY582" s="1"/>
      <c r="BI582" s="2" t="s">
        <v>1815</v>
      </c>
    </row>
    <row r="583" spans="1:62" ht="22.95" customHeight="1">
      <c r="A583" s="199"/>
      <c r="B583" s="1299"/>
      <c r="C583" s="1299"/>
      <c r="D583" s="1299"/>
      <c r="E583" s="1299"/>
      <c r="F583" s="1299"/>
      <c r="G583" s="1299"/>
      <c r="H583" s="1299"/>
      <c r="I583" s="1299"/>
      <c r="J583" s="1299"/>
      <c r="K583" s="1299"/>
      <c r="L583" s="1299"/>
      <c r="M583" s="1299"/>
      <c r="N583" s="200"/>
      <c r="O583" s="199"/>
      <c r="P583" s="24"/>
      <c r="Q583" s="24"/>
      <c r="R583" s="398"/>
      <c r="S583" s="398"/>
      <c r="T583" s="398"/>
      <c r="U583" s="398"/>
      <c r="V583" s="398"/>
      <c r="W583" s="398"/>
      <c r="X583" s="398"/>
      <c r="Y583" s="398"/>
      <c r="Z583" s="398"/>
      <c r="AA583" s="398"/>
      <c r="AB583" s="200"/>
      <c r="AC583" s="1"/>
      <c r="AD583" s="1"/>
      <c r="AE583" s="1"/>
      <c r="AF583" s="1"/>
      <c r="AG583" s="1"/>
      <c r="AH583" s="1"/>
      <c r="AI583" s="1"/>
      <c r="AJ583" s="1"/>
      <c r="AK583" s="1"/>
      <c r="AL583" s="1"/>
      <c r="AM583" s="1"/>
      <c r="AN583" s="1"/>
      <c r="AO583" s="1"/>
      <c r="AP583" s="1"/>
      <c r="AQ583" s="1"/>
      <c r="AR583" s="1"/>
      <c r="AS583" s="1"/>
      <c r="AT583" s="1"/>
      <c r="AU583" s="1"/>
      <c r="AV583" s="1"/>
      <c r="AW583" s="1"/>
      <c r="AX583" s="1"/>
      <c r="AY583" s="1"/>
    </row>
    <row r="584" spans="1:62" ht="4.95" customHeight="1">
      <c r="A584" s="199"/>
      <c r="B584" s="24"/>
      <c r="C584" s="24"/>
      <c r="D584" s="24"/>
      <c r="E584" s="24"/>
      <c r="F584" s="24"/>
      <c r="G584" s="24"/>
      <c r="H584" s="24"/>
      <c r="I584" s="24"/>
      <c r="J584" s="24"/>
      <c r="K584" s="24"/>
      <c r="L584" s="24"/>
      <c r="M584" s="24"/>
      <c r="N584" s="200"/>
      <c r="O584" s="199"/>
      <c r="P584" s="24"/>
      <c r="Q584" s="24"/>
      <c r="R584" s="398"/>
      <c r="S584" s="398"/>
      <c r="T584" s="398"/>
      <c r="U584" s="398"/>
      <c r="V584" s="398"/>
      <c r="W584" s="398"/>
      <c r="X584" s="398"/>
      <c r="Y584" s="398"/>
      <c r="Z584" s="398"/>
      <c r="AA584" s="398"/>
      <c r="AB584" s="200"/>
      <c r="AC584" s="1"/>
      <c r="AD584" s="1"/>
      <c r="AE584" s="1"/>
      <c r="AF584" s="1"/>
      <c r="AG584" s="1"/>
      <c r="AH584" s="1"/>
      <c r="AI584" s="1"/>
      <c r="AJ584" s="1"/>
      <c r="AK584" s="1"/>
      <c r="AL584" s="1"/>
      <c r="AM584" s="1"/>
      <c r="AN584" s="1"/>
      <c r="AO584" s="1"/>
      <c r="AP584" s="1"/>
      <c r="AQ584" s="1"/>
      <c r="AR584" s="1"/>
      <c r="AS584" s="1"/>
      <c r="AT584" s="1"/>
      <c r="AU584" s="1"/>
      <c r="AV584" s="1"/>
      <c r="AW584" s="1"/>
      <c r="AX584" s="1"/>
      <c r="AY584" s="1"/>
    </row>
    <row r="585" spans="1:62" ht="25.05" customHeight="1">
      <c r="A585" s="199"/>
      <c r="B585" s="1300" t="s">
        <v>1782</v>
      </c>
      <c r="C585" s="1301"/>
      <c r="D585" s="1301"/>
      <c r="E585" s="1301"/>
      <c r="F585" s="1301"/>
      <c r="G585" s="1301"/>
      <c r="H585" s="1301"/>
      <c r="I585" s="1301"/>
      <c r="J585" s="1301"/>
      <c r="K585" s="1301"/>
      <c r="L585" s="1301"/>
      <c r="M585" s="1301"/>
      <c r="N585" s="200"/>
      <c r="O585" s="199"/>
      <c r="P585" s="24"/>
      <c r="Q585" s="24"/>
      <c r="R585" s="398"/>
      <c r="S585" s="398"/>
      <c r="T585" s="398"/>
      <c r="U585" s="398"/>
      <c r="V585" s="398"/>
      <c r="W585" s="398"/>
      <c r="X585" s="398"/>
      <c r="Y585" s="398"/>
      <c r="Z585" s="398"/>
      <c r="AA585" s="398"/>
      <c r="AB585" s="200"/>
      <c r="AC585" s="1"/>
      <c r="AD585" s="1"/>
      <c r="AE585" s="1"/>
      <c r="AF585" s="1"/>
      <c r="AG585" s="1"/>
      <c r="AH585" s="1"/>
      <c r="AI585" s="1"/>
      <c r="AJ585" s="1"/>
      <c r="AK585" s="1"/>
      <c r="AL585" s="1"/>
      <c r="AM585" s="1"/>
      <c r="AN585" s="1"/>
      <c r="AO585" s="1"/>
      <c r="AP585" s="1"/>
      <c r="AQ585" s="1"/>
      <c r="AR585" s="1"/>
      <c r="AS585" s="1"/>
      <c r="AT585" s="1"/>
      <c r="AU585" s="1"/>
      <c r="AV585" s="1"/>
      <c r="AW585" s="1"/>
      <c r="AX585" s="1"/>
      <c r="AY585" s="1"/>
      <c r="BF585" s="459" t="str">
        <f>CONCATENATE(BH585,BI585,BJ585,BK585,BL585,BM585,BN585,BO585)</f>
        <v/>
      </c>
      <c r="BH585" s="469"/>
    </row>
    <row r="586" spans="1:62" ht="25.05" customHeight="1">
      <c r="A586" s="199"/>
      <c r="B586" s="1301"/>
      <c r="C586" s="1301"/>
      <c r="D586" s="1301"/>
      <c r="E586" s="1301"/>
      <c r="F586" s="1301"/>
      <c r="G586" s="1301"/>
      <c r="H586" s="1301"/>
      <c r="I586" s="1301"/>
      <c r="J586" s="1301"/>
      <c r="K586" s="1301"/>
      <c r="L586" s="1301"/>
      <c r="M586" s="1301"/>
      <c r="N586" s="200"/>
      <c r="O586" s="199"/>
      <c r="P586" s="24"/>
      <c r="Q586" s="24"/>
      <c r="R586" s="398"/>
      <c r="S586" s="398"/>
      <c r="T586" s="398"/>
      <c r="U586" s="398"/>
      <c r="V586" s="398"/>
      <c r="W586" s="398"/>
      <c r="X586" s="398"/>
      <c r="Y586" s="398"/>
      <c r="Z586" s="398"/>
      <c r="AA586" s="398"/>
      <c r="AB586" s="200"/>
      <c r="AC586" s="1"/>
      <c r="AD586" s="1"/>
      <c r="AE586" s="1"/>
      <c r="AF586" s="1"/>
      <c r="AG586" s="1"/>
      <c r="AH586" s="1"/>
      <c r="AI586" s="1"/>
      <c r="AJ586" s="1"/>
      <c r="AK586" s="1"/>
      <c r="AL586" s="1"/>
      <c r="AM586" s="1"/>
      <c r="AN586" s="1"/>
      <c r="AO586" s="1"/>
      <c r="AP586" s="1"/>
      <c r="AQ586" s="1"/>
      <c r="AR586" s="1"/>
      <c r="AS586" s="1"/>
      <c r="AT586" s="1"/>
      <c r="AU586" s="1"/>
      <c r="AV586" s="1"/>
      <c r="AW586" s="1"/>
      <c r="AX586" s="1"/>
      <c r="AY586" s="1"/>
    </row>
    <row r="587" spans="1:62" ht="25.05" customHeight="1">
      <c r="A587" s="199"/>
      <c r="B587" s="1301"/>
      <c r="C587" s="1301"/>
      <c r="D587" s="1301"/>
      <c r="E587" s="1301"/>
      <c r="F587" s="1301"/>
      <c r="G587" s="1301"/>
      <c r="H587" s="1301"/>
      <c r="I587" s="1301"/>
      <c r="J587" s="1301"/>
      <c r="K587" s="1301"/>
      <c r="L587" s="1301"/>
      <c r="M587" s="1301"/>
      <c r="N587" s="200"/>
      <c r="O587" s="199"/>
      <c r="P587" s="24"/>
      <c r="Q587" s="24"/>
      <c r="R587" s="398"/>
      <c r="S587" s="398"/>
      <c r="T587" s="398"/>
      <c r="U587" s="398"/>
      <c r="V587" s="398"/>
      <c r="W587" s="398"/>
      <c r="X587" s="398"/>
      <c r="Y587" s="398"/>
      <c r="Z587" s="398"/>
      <c r="AA587" s="398"/>
      <c r="AB587" s="200"/>
      <c r="AC587" s="1"/>
      <c r="AD587" s="1"/>
      <c r="AE587" s="1"/>
      <c r="AF587" s="1"/>
      <c r="AG587" s="1"/>
      <c r="AH587" s="1"/>
      <c r="AI587" s="1"/>
      <c r="AJ587" s="1"/>
      <c r="AK587" s="1"/>
      <c r="AL587" s="1"/>
      <c r="AM587" s="1"/>
      <c r="AN587" s="1"/>
      <c r="AO587" s="1"/>
      <c r="AP587" s="1"/>
      <c r="AQ587" s="1"/>
      <c r="AR587" s="1"/>
      <c r="AS587" s="1"/>
      <c r="AT587" s="1"/>
      <c r="AU587" s="1"/>
      <c r="AV587" s="1"/>
      <c r="AW587" s="1"/>
      <c r="AX587" s="1"/>
      <c r="AY587" s="1"/>
    </row>
    <row r="588" spans="1:62" ht="25.05" customHeight="1">
      <c r="A588" s="199"/>
      <c r="B588" s="1301"/>
      <c r="C588" s="1301"/>
      <c r="D588" s="1301"/>
      <c r="E588" s="1301"/>
      <c r="F588" s="1301"/>
      <c r="G588" s="1301"/>
      <c r="H588" s="1301"/>
      <c r="I588" s="1301"/>
      <c r="J588" s="1301"/>
      <c r="K588" s="1301"/>
      <c r="L588" s="1301"/>
      <c r="M588" s="1301"/>
      <c r="N588" s="200"/>
      <c r="O588" s="199"/>
      <c r="P588" s="24"/>
      <c r="Q588" s="24"/>
      <c r="R588" s="398"/>
      <c r="S588" s="398"/>
      <c r="T588" s="398"/>
      <c r="U588" s="398"/>
      <c r="V588" s="398"/>
      <c r="W588" s="398"/>
      <c r="X588" s="398"/>
      <c r="Y588" s="398"/>
      <c r="Z588" s="398"/>
      <c r="AA588" s="398"/>
      <c r="AB588" s="200"/>
      <c r="AC588" s="1"/>
      <c r="AD588" s="1"/>
      <c r="AE588" s="1"/>
      <c r="AF588" s="1"/>
      <c r="AG588" s="1"/>
      <c r="AH588" s="1"/>
      <c r="AI588" s="1"/>
      <c r="AJ588" s="1"/>
      <c r="AK588" s="1"/>
      <c r="AL588" s="1"/>
      <c r="AM588" s="1"/>
      <c r="AN588" s="1"/>
      <c r="AO588" s="1"/>
      <c r="AP588" s="1"/>
      <c r="AQ588" s="1"/>
      <c r="AR588" s="1"/>
      <c r="AS588" s="1"/>
      <c r="AT588" s="1"/>
      <c r="AU588" s="1"/>
      <c r="AV588" s="1"/>
      <c r="AW588" s="1"/>
      <c r="AX588" s="1"/>
      <c r="AY588" s="1"/>
    </row>
    <row r="589" spans="1:62" ht="4.95" customHeight="1">
      <c r="A589" s="199"/>
      <c r="B589" s="24"/>
      <c r="C589" s="24"/>
      <c r="D589" s="24"/>
      <c r="E589" s="24"/>
      <c r="F589" s="24"/>
      <c r="G589" s="24"/>
      <c r="H589" s="24"/>
      <c r="I589" s="24"/>
      <c r="J589" s="24"/>
      <c r="K589" s="24"/>
      <c r="L589" s="24"/>
      <c r="M589" s="24"/>
      <c r="N589" s="200"/>
      <c r="O589" s="199"/>
      <c r="P589" s="24"/>
      <c r="Q589" s="24"/>
      <c r="R589" s="398"/>
      <c r="S589" s="398"/>
      <c r="T589" s="398"/>
      <c r="U589" s="398"/>
      <c r="V589" s="398"/>
      <c r="W589" s="398"/>
      <c r="X589" s="398"/>
      <c r="Y589" s="398"/>
      <c r="Z589" s="398"/>
      <c r="AA589" s="398"/>
      <c r="AB589" s="200"/>
      <c r="AC589" s="1"/>
      <c r="AD589" s="1"/>
      <c r="AE589" s="1"/>
      <c r="AF589" s="1"/>
      <c r="AG589" s="1"/>
      <c r="AH589" s="1"/>
      <c r="AI589" s="1"/>
      <c r="AJ589" s="1"/>
      <c r="AK589" s="1"/>
      <c r="AL589" s="1"/>
      <c r="AM589" s="1"/>
      <c r="AN589" s="1"/>
      <c r="AO589" s="1"/>
      <c r="AP589" s="1"/>
      <c r="AQ589" s="1"/>
      <c r="AR589" s="1"/>
      <c r="AS589" s="1"/>
      <c r="AT589" s="1"/>
      <c r="AU589" s="1"/>
      <c r="AV589" s="1"/>
      <c r="AW589" s="1"/>
      <c r="AX589" s="1"/>
      <c r="AY589" s="1"/>
    </row>
    <row r="590" spans="1:62" ht="28.95" customHeight="1">
      <c r="A590" s="199"/>
      <c r="B590" s="1299" t="s">
        <v>1770</v>
      </c>
      <c r="C590" s="1299"/>
      <c r="D590" s="1299"/>
      <c r="E590" s="1299"/>
      <c r="F590" s="1299"/>
      <c r="G590" s="1299"/>
      <c r="H590" s="1299"/>
      <c r="I590" s="1299"/>
      <c r="J590" s="1299"/>
      <c r="K590" s="1299"/>
      <c r="L590" s="1299"/>
      <c r="M590" s="1299"/>
      <c r="N590" s="200"/>
      <c r="O590" s="199"/>
      <c r="P590" s="24"/>
      <c r="Q590" s="24"/>
      <c r="R590" s="398"/>
      <c r="S590" s="398"/>
      <c r="T590" s="398"/>
      <c r="U590" s="398"/>
      <c r="V590" s="398"/>
      <c r="W590" s="398"/>
      <c r="X590" s="398"/>
      <c r="Y590" s="398"/>
      <c r="Z590" s="398"/>
      <c r="AA590" s="398"/>
      <c r="AB590" s="200"/>
      <c r="AC590" s="1"/>
      <c r="AD590" s="1"/>
      <c r="AE590" s="1"/>
      <c r="AF590" s="1"/>
      <c r="AG590" s="1"/>
      <c r="AH590" s="1"/>
      <c r="AI590" s="1"/>
      <c r="AJ590" s="1"/>
      <c r="AK590" s="1"/>
      <c r="AL590" s="1"/>
      <c r="AM590" s="1"/>
      <c r="AN590" s="1"/>
      <c r="AO590" s="1"/>
      <c r="AP590" s="1"/>
      <c r="AQ590" s="1"/>
      <c r="AR590" s="1"/>
      <c r="AS590" s="1"/>
      <c r="AT590" s="1"/>
      <c r="AU590" s="1"/>
      <c r="AV590" s="1"/>
      <c r="AW590" s="1"/>
      <c r="AX590" s="1"/>
      <c r="AY590" s="1"/>
      <c r="BF590" s="459" t="str">
        <f>CONCATENATE(BH590,BI590,BJ590,BK590,BL590,BM590,BN590,BO590)</f>
        <v/>
      </c>
      <c r="BH590" s="469"/>
    </row>
    <row r="591" spans="1:62" ht="28.95" customHeight="1">
      <c r="A591" s="199"/>
      <c r="B591" s="1299"/>
      <c r="C591" s="1299"/>
      <c r="D591" s="1299"/>
      <c r="E591" s="1299"/>
      <c r="F591" s="1299"/>
      <c r="G591" s="1299"/>
      <c r="H591" s="1299"/>
      <c r="I591" s="1299"/>
      <c r="J591" s="1299"/>
      <c r="K591" s="1299"/>
      <c r="L591" s="1299"/>
      <c r="M591" s="1299"/>
      <c r="N591" s="200"/>
      <c r="O591" s="199"/>
      <c r="P591" s="24"/>
      <c r="Q591" s="24"/>
      <c r="R591" s="398"/>
      <c r="S591" s="398"/>
      <c r="T591" s="398"/>
      <c r="U591" s="398"/>
      <c r="V591" s="398"/>
      <c r="W591" s="398"/>
      <c r="X591" s="398"/>
      <c r="Y591" s="398"/>
      <c r="Z591" s="398"/>
      <c r="AA591" s="398"/>
      <c r="AB591" s="200"/>
      <c r="AC591" s="1"/>
      <c r="AD591" s="1"/>
      <c r="AE591" s="1"/>
      <c r="AF591" s="1"/>
      <c r="AG591" s="1"/>
      <c r="AH591" s="1"/>
      <c r="AI591" s="1"/>
      <c r="AJ591" s="1"/>
      <c r="AK591" s="1"/>
      <c r="AL591" s="1"/>
      <c r="AM591" s="1"/>
      <c r="AN591" s="1"/>
      <c r="AO591" s="1"/>
      <c r="AP591" s="1"/>
      <c r="AQ591" s="1"/>
      <c r="AR591" s="1"/>
      <c r="AS591" s="1"/>
      <c r="AT591" s="1"/>
      <c r="AU591" s="1"/>
      <c r="AV591" s="1"/>
      <c r="AW591" s="1"/>
      <c r="AX591" s="1"/>
      <c r="AY591" s="1"/>
    </row>
    <row r="592" spans="1:62" ht="28.95" customHeight="1">
      <c r="A592" s="199"/>
      <c r="B592" s="1299"/>
      <c r="C592" s="1299"/>
      <c r="D592" s="1299"/>
      <c r="E592" s="1299"/>
      <c r="F592" s="1299"/>
      <c r="G592" s="1299"/>
      <c r="H592" s="1299"/>
      <c r="I592" s="1299"/>
      <c r="J592" s="1299"/>
      <c r="K592" s="1299"/>
      <c r="L592" s="1299"/>
      <c r="M592" s="1299"/>
      <c r="N592" s="200"/>
      <c r="O592" s="199"/>
      <c r="P592" s="24"/>
      <c r="Q592" s="24"/>
      <c r="R592" s="398"/>
      <c r="S592" s="398"/>
      <c r="T592" s="398"/>
      <c r="U592" s="398"/>
      <c r="V592" s="398"/>
      <c r="W592" s="398"/>
      <c r="X592" s="398"/>
      <c r="Y592" s="398"/>
      <c r="Z592" s="398"/>
      <c r="AA592" s="398"/>
      <c r="AB592" s="200"/>
      <c r="AC592" s="1"/>
      <c r="AD592" s="1"/>
      <c r="AE592" s="1"/>
      <c r="AF592" s="1"/>
      <c r="AG592" s="1"/>
      <c r="AH592" s="1"/>
      <c r="AI592" s="1"/>
      <c r="AJ592" s="1"/>
      <c r="AK592" s="1"/>
      <c r="AL592" s="1"/>
      <c r="AM592" s="1"/>
      <c r="AN592" s="1"/>
      <c r="AO592" s="1"/>
      <c r="AP592" s="1"/>
      <c r="AQ592" s="1"/>
      <c r="AR592" s="1"/>
      <c r="AS592" s="1"/>
      <c r="AT592" s="1"/>
      <c r="AU592" s="1"/>
      <c r="AV592" s="1"/>
      <c r="AW592" s="1"/>
      <c r="AX592" s="1"/>
      <c r="AY592" s="1"/>
    </row>
    <row r="593" spans="1:51" ht="28.95" customHeight="1">
      <c r="A593" s="199"/>
      <c r="B593" s="1299"/>
      <c r="C593" s="1299"/>
      <c r="D593" s="1299"/>
      <c r="E593" s="1299"/>
      <c r="F593" s="1299"/>
      <c r="G593" s="1299"/>
      <c r="H593" s="1299"/>
      <c r="I593" s="1299"/>
      <c r="J593" s="1299"/>
      <c r="K593" s="1299"/>
      <c r="L593" s="1299"/>
      <c r="M593" s="1299"/>
      <c r="N593" s="200"/>
      <c r="O593" s="199"/>
      <c r="P593" s="24"/>
      <c r="Q593" s="24"/>
      <c r="R593" s="398"/>
      <c r="S593" s="398"/>
      <c r="T593" s="398"/>
      <c r="U593" s="398"/>
      <c r="V593" s="398"/>
      <c r="W593" s="398"/>
      <c r="X593" s="398"/>
      <c r="Y593" s="398"/>
      <c r="Z593" s="398"/>
      <c r="AA593" s="398"/>
      <c r="AB593" s="200"/>
      <c r="AC593" s="1"/>
      <c r="AD593" s="1"/>
      <c r="AE593" s="1"/>
      <c r="AF593" s="1"/>
      <c r="AG593" s="1"/>
      <c r="AH593" s="1"/>
      <c r="AI593" s="1"/>
      <c r="AJ593" s="1"/>
      <c r="AK593" s="1"/>
      <c r="AL593" s="1"/>
      <c r="AM593" s="1"/>
      <c r="AN593" s="1"/>
      <c r="AO593" s="1"/>
      <c r="AP593" s="1"/>
      <c r="AQ593" s="1"/>
      <c r="AR593" s="1"/>
      <c r="AS593" s="1"/>
      <c r="AT593" s="1"/>
      <c r="AU593" s="1"/>
      <c r="AV593" s="1"/>
      <c r="AW593" s="1"/>
      <c r="AX593" s="1"/>
      <c r="AY593" s="1"/>
    </row>
    <row r="594" spans="1:51" ht="4.95" customHeight="1">
      <c r="A594" s="199"/>
      <c r="B594" s="24"/>
      <c r="C594" s="24"/>
      <c r="D594" s="24"/>
      <c r="E594" s="24"/>
      <c r="F594" s="24"/>
      <c r="G594" s="24"/>
      <c r="H594" s="24"/>
      <c r="I594" s="24"/>
      <c r="J594" s="24"/>
      <c r="K594" s="24"/>
      <c r="L594" s="24"/>
      <c r="M594" s="24"/>
      <c r="N594" s="200"/>
      <c r="O594" s="199"/>
      <c r="P594" s="24"/>
      <c r="Q594" s="24"/>
      <c r="R594" s="398"/>
      <c r="S594" s="398"/>
      <c r="T594" s="398"/>
      <c r="U594" s="398"/>
      <c r="V594" s="398"/>
      <c r="W594" s="398"/>
      <c r="X594" s="398"/>
      <c r="Y594" s="398"/>
      <c r="Z594" s="398"/>
      <c r="AA594" s="398"/>
      <c r="AB594" s="200"/>
      <c r="AC594" s="1"/>
      <c r="AD594" s="1"/>
      <c r="AE594" s="1"/>
      <c r="AF594" s="1"/>
      <c r="AG594" s="1"/>
      <c r="AH594" s="1"/>
      <c r="AI594" s="1"/>
      <c r="AJ594" s="1"/>
      <c r="AK594" s="1"/>
      <c r="AL594" s="1"/>
      <c r="AM594" s="1"/>
      <c r="AN594" s="1"/>
      <c r="AO594" s="1"/>
      <c r="AP594" s="1"/>
      <c r="AQ594" s="1"/>
      <c r="AR594" s="1"/>
      <c r="AS594" s="1"/>
      <c r="AT594" s="1"/>
      <c r="AU594" s="1"/>
      <c r="AV594" s="1"/>
      <c r="AW594" s="1"/>
      <c r="AX594" s="1"/>
      <c r="AY594" s="1"/>
    </row>
    <row r="595" spans="1:51" ht="15" customHeight="1">
      <c r="A595" s="199"/>
      <c r="B595" s="24"/>
      <c r="C595" s="24"/>
      <c r="D595" s="24"/>
      <c r="E595" s="24"/>
      <c r="F595" s="24"/>
      <c r="G595" s="24"/>
      <c r="H595" s="24"/>
      <c r="I595" s="24"/>
      <c r="J595" s="24"/>
      <c r="K595" s="24"/>
      <c r="L595" s="24"/>
      <c r="M595" s="24"/>
      <c r="N595" s="200"/>
      <c r="O595" s="199"/>
      <c r="P595" s="24"/>
      <c r="Q595" s="24"/>
      <c r="R595" s="398"/>
      <c r="S595" s="398"/>
      <c r="T595" s="398"/>
      <c r="U595" s="398"/>
      <c r="V595" s="398"/>
      <c r="W595" s="398"/>
      <c r="X595" s="398"/>
      <c r="Y595" s="398"/>
      <c r="Z595" s="398"/>
      <c r="AA595" s="398"/>
      <c r="AB595" s="200"/>
      <c r="AC595" s="1"/>
      <c r="AD595" s="1"/>
      <c r="AE595" s="1"/>
      <c r="AF595" s="1"/>
      <c r="AG595" s="1"/>
      <c r="AH595" s="1"/>
      <c r="AI595" s="1"/>
      <c r="AJ595" s="1"/>
      <c r="AK595" s="1"/>
      <c r="AL595" s="1"/>
      <c r="AM595" s="1"/>
      <c r="AN595" s="1"/>
      <c r="AO595" s="1"/>
      <c r="AP595" s="1"/>
      <c r="AQ595" s="1"/>
      <c r="AR595" s="1"/>
      <c r="AS595" s="1"/>
      <c r="AT595" s="1"/>
      <c r="AU595" s="1"/>
      <c r="AV595" s="1"/>
      <c r="AW595" s="1"/>
      <c r="AX595" s="1"/>
      <c r="AY595" s="1"/>
    </row>
    <row r="596" spans="1:51" ht="16.95" customHeight="1">
      <c r="A596" s="199"/>
      <c r="B596" s="24"/>
      <c r="C596" s="24"/>
      <c r="D596" s="24"/>
      <c r="E596" s="24"/>
      <c r="F596" s="24"/>
      <c r="G596" s="24"/>
      <c r="H596" s="24"/>
      <c r="I596" s="24"/>
      <c r="J596" s="24"/>
      <c r="K596" s="24"/>
      <c r="L596" s="24"/>
      <c r="M596" s="24"/>
      <c r="N596" s="200"/>
      <c r="O596" s="199"/>
      <c r="P596" s="24"/>
      <c r="Q596" s="24"/>
      <c r="R596" s="398"/>
      <c r="S596" s="398"/>
      <c r="T596" s="398"/>
      <c r="U596" s="398"/>
      <c r="V596" s="398"/>
      <c r="W596" s="398"/>
      <c r="X596" s="398"/>
      <c r="Y596" s="398"/>
      <c r="Z596" s="398"/>
      <c r="AA596" s="398"/>
      <c r="AB596" s="200"/>
      <c r="AC596" s="1"/>
      <c r="AD596" s="1"/>
      <c r="AE596" s="1"/>
      <c r="AF596" s="1"/>
      <c r="AG596" s="1"/>
      <c r="AH596" s="1"/>
      <c r="AI596" s="1"/>
      <c r="AJ596" s="1"/>
      <c r="AK596" s="1"/>
      <c r="AL596" s="1"/>
      <c r="AM596" s="1"/>
      <c r="AN596" s="1"/>
      <c r="AO596" s="1"/>
      <c r="AP596" s="1"/>
      <c r="AQ596" s="1"/>
      <c r="AR596" s="1"/>
      <c r="AS596" s="1"/>
      <c r="AT596" s="1"/>
      <c r="AU596" s="1"/>
      <c r="AV596" s="1"/>
      <c r="AW596" s="1"/>
      <c r="AX596" s="1"/>
      <c r="AY596" s="1"/>
    </row>
    <row r="597" spans="1:51" ht="16.95" customHeight="1">
      <c r="A597" s="199"/>
      <c r="B597" s="24"/>
      <c r="C597" s="24"/>
      <c r="D597" s="24"/>
      <c r="E597" s="24"/>
      <c r="F597" s="24"/>
      <c r="G597" s="24"/>
      <c r="H597" s="24"/>
      <c r="I597" s="24"/>
      <c r="J597" s="24"/>
      <c r="K597" s="24"/>
      <c r="L597" s="24"/>
      <c r="M597" s="24"/>
      <c r="N597" s="200"/>
      <c r="O597" s="199"/>
      <c r="P597" s="24"/>
      <c r="Q597" s="24"/>
      <c r="R597" s="398"/>
      <c r="S597" s="398"/>
      <c r="T597" s="398"/>
      <c r="U597" s="398"/>
      <c r="V597" s="398"/>
      <c r="W597" s="398"/>
      <c r="X597" s="398"/>
      <c r="Y597" s="398"/>
      <c r="Z597" s="398"/>
      <c r="AA597" s="398"/>
      <c r="AB597" s="200"/>
      <c r="AC597" s="1"/>
      <c r="AD597" s="1"/>
      <c r="AE597" s="1"/>
      <c r="AF597" s="1"/>
      <c r="AG597" s="1"/>
      <c r="AH597" s="1"/>
      <c r="AI597" s="1"/>
      <c r="AJ597" s="1"/>
      <c r="AK597" s="1"/>
      <c r="AL597" s="1"/>
      <c r="AM597" s="1"/>
      <c r="AN597" s="1"/>
      <c r="AO597" s="1"/>
      <c r="AP597" s="1"/>
      <c r="AQ597" s="1"/>
      <c r="AR597" s="1"/>
      <c r="AS597" s="1"/>
      <c r="AT597" s="1"/>
      <c r="AU597" s="1"/>
      <c r="AV597" s="1"/>
      <c r="AW597" s="1"/>
      <c r="AX597" s="1"/>
      <c r="AY597" s="1"/>
    </row>
    <row r="598" spans="1:51" ht="16.95" customHeight="1">
      <c r="A598" s="199"/>
      <c r="B598" s="24"/>
      <c r="C598" s="24"/>
      <c r="D598" s="24"/>
      <c r="E598" s="24"/>
      <c r="F598" s="24"/>
      <c r="G598" s="24"/>
      <c r="H598" s="24"/>
      <c r="I598" s="24"/>
      <c r="J598" s="24"/>
      <c r="K598" s="24"/>
      <c r="L598" s="24"/>
      <c r="M598" s="24"/>
      <c r="N598" s="200"/>
      <c r="O598" s="199"/>
      <c r="P598" s="24"/>
      <c r="Q598" s="24"/>
      <c r="R598" s="398"/>
      <c r="S598" s="398"/>
      <c r="T598" s="398"/>
      <c r="U598" s="398"/>
      <c r="V598" s="398"/>
      <c r="W598" s="398"/>
      <c r="X598" s="398"/>
      <c r="Y598" s="398"/>
      <c r="Z598" s="398"/>
      <c r="AA598" s="398"/>
      <c r="AB598" s="200"/>
      <c r="AC598" s="1"/>
      <c r="AD598" s="1"/>
      <c r="AE598" s="1"/>
      <c r="AF598" s="1"/>
      <c r="AG598" s="1"/>
      <c r="AH598" s="1"/>
      <c r="AI598" s="1"/>
      <c r="AJ598" s="1"/>
      <c r="AK598" s="1"/>
      <c r="AL598" s="1"/>
      <c r="AM598" s="1"/>
      <c r="AN598" s="1"/>
      <c r="AO598" s="1"/>
      <c r="AP598" s="1"/>
      <c r="AQ598" s="1"/>
      <c r="AR598" s="1"/>
      <c r="AS598" s="1"/>
      <c r="AT598" s="1"/>
      <c r="AU598" s="1"/>
      <c r="AV598" s="1"/>
      <c r="AW598" s="1"/>
      <c r="AX598" s="1"/>
      <c r="AY598" s="1"/>
    </row>
    <row r="599" spans="1:51" ht="16.95" customHeight="1">
      <c r="A599" s="199"/>
      <c r="B599" s="24"/>
      <c r="C599" s="24"/>
      <c r="D599" s="24"/>
      <c r="E599" s="24"/>
      <c r="F599" s="24"/>
      <c r="G599" s="24"/>
      <c r="H599" s="24"/>
      <c r="I599" s="24"/>
      <c r="J599" s="24"/>
      <c r="K599" s="24"/>
      <c r="L599" s="24"/>
      <c r="M599" s="24"/>
      <c r="N599" s="200"/>
      <c r="O599" s="199"/>
      <c r="P599" s="24"/>
      <c r="Q599" s="24"/>
      <c r="R599" s="398"/>
      <c r="S599" s="398"/>
      <c r="T599" s="398"/>
      <c r="U599" s="398"/>
      <c r="V599" s="398"/>
      <c r="W599" s="398"/>
      <c r="X599" s="398"/>
      <c r="Y599" s="398"/>
      <c r="Z599" s="398"/>
      <c r="AA599" s="398"/>
      <c r="AB599" s="200"/>
      <c r="AC599" s="1"/>
      <c r="AD599" s="1"/>
      <c r="AE599" s="1"/>
      <c r="AF599" s="1"/>
      <c r="AG599" s="1"/>
      <c r="AH599" s="1"/>
      <c r="AI599" s="1"/>
      <c r="AJ599" s="1"/>
      <c r="AK599" s="1"/>
      <c r="AL599" s="1"/>
      <c r="AM599" s="1"/>
      <c r="AN599" s="1"/>
      <c r="AO599" s="1"/>
      <c r="AP599" s="1"/>
      <c r="AQ599" s="1"/>
      <c r="AR599" s="1"/>
      <c r="AS599" s="1"/>
      <c r="AT599" s="1"/>
      <c r="AU599" s="1"/>
      <c r="AV599" s="1"/>
      <c r="AW599" s="1"/>
      <c r="AX599" s="1"/>
      <c r="AY599" s="1"/>
    </row>
    <row r="600" spans="1:51" ht="16.95" customHeight="1">
      <c r="A600" s="199"/>
      <c r="B600" s="24"/>
      <c r="C600" s="24"/>
      <c r="D600" s="24"/>
      <c r="E600" s="24"/>
      <c r="F600" s="24"/>
      <c r="G600" s="24"/>
      <c r="H600" s="24"/>
      <c r="I600" s="24"/>
      <c r="J600" s="24"/>
      <c r="K600" s="24"/>
      <c r="L600" s="24"/>
      <c r="M600" s="24"/>
      <c r="N600" s="200"/>
      <c r="O600" s="199"/>
      <c r="P600" s="24"/>
      <c r="Q600" s="24"/>
      <c r="R600" s="398"/>
      <c r="S600" s="398"/>
      <c r="T600" s="398"/>
      <c r="U600" s="398"/>
      <c r="V600" s="398"/>
      <c r="W600" s="398"/>
      <c r="X600" s="398"/>
      <c r="Y600" s="398"/>
      <c r="Z600" s="398"/>
      <c r="AA600" s="398"/>
      <c r="AB600" s="200"/>
      <c r="AC600" s="1"/>
      <c r="AD600" s="1"/>
      <c r="AE600" s="1"/>
      <c r="AF600" s="1"/>
      <c r="AG600" s="1"/>
      <c r="AH600" s="1"/>
      <c r="AI600" s="1"/>
      <c r="AJ600" s="1"/>
      <c r="AK600" s="1"/>
      <c r="AL600" s="1"/>
      <c r="AM600" s="1"/>
      <c r="AN600" s="1"/>
      <c r="AO600" s="1"/>
      <c r="AP600" s="1"/>
      <c r="AQ600" s="1"/>
      <c r="AR600" s="1"/>
      <c r="AS600" s="1"/>
      <c r="AT600" s="1"/>
      <c r="AU600" s="1"/>
      <c r="AV600" s="1"/>
      <c r="AW600" s="1"/>
      <c r="AX600" s="1"/>
      <c r="AY600" s="1"/>
    </row>
    <row r="601" spans="1:51" ht="16.95" customHeight="1">
      <c r="A601" s="199"/>
      <c r="B601" s="24"/>
      <c r="C601" s="24"/>
      <c r="D601" s="24"/>
      <c r="E601" s="24"/>
      <c r="F601" s="24"/>
      <c r="G601" s="24"/>
      <c r="H601" s="24"/>
      <c r="I601" s="24"/>
      <c r="J601" s="24"/>
      <c r="K601" s="24"/>
      <c r="L601" s="24"/>
      <c r="M601" s="24"/>
      <c r="N601" s="200"/>
      <c r="O601" s="199"/>
      <c r="P601" s="24"/>
      <c r="Q601" s="24"/>
      <c r="R601" s="398"/>
      <c r="S601" s="398"/>
      <c r="T601" s="398"/>
      <c r="U601" s="398"/>
      <c r="V601" s="398"/>
      <c r="W601" s="398"/>
      <c r="X601" s="398"/>
      <c r="Y601" s="398"/>
      <c r="Z601" s="398"/>
      <c r="AA601" s="398"/>
      <c r="AB601" s="200"/>
      <c r="AC601" s="1"/>
      <c r="AD601" s="1"/>
      <c r="AE601" s="1"/>
      <c r="AF601" s="1"/>
      <c r="AG601" s="1"/>
      <c r="AH601" s="1"/>
      <c r="AI601" s="1"/>
      <c r="AJ601" s="1"/>
      <c r="AK601" s="1"/>
      <c r="AL601" s="1"/>
      <c r="AM601" s="1"/>
      <c r="AN601" s="1"/>
      <c r="AO601" s="1"/>
      <c r="AP601" s="1"/>
      <c r="AQ601" s="1"/>
      <c r="AR601" s="1"/>
      <c r="AS601" s="1"/>
      <c r="AT601" s="1"/>
      <c r="AU601" s="1"/>
      <c r="AV601" s="1"/>
      <c r="AW601" s="1"/>
      <c r="AX601" s="1"/>
      <c r="AY601" s="1"/>
    </row>
    <row r="602" spans="1:51" ht="16.95" customHeight="1">
      <c r="A602" s="199"/>
      <c r="B602" s="24"/>
      <c r="C602" s="24"/>
      <c r="D602" s="24"/>
      <c r="E602" s="24"/>
      <c r="F602" s="24"/>
      <c r="G602" s="24"/>
      <c r="H602" s="24"/>
      <c r="I602" s="24"/>
      <c r="J602" s="24"/>
      <c r="K602" s="24"/>
      <c r="L602" s="24"/>
      <c r="M602" s="24"/>
      <c r="N602" s="200"/>
      <c r="O602" s="199"/>
      <c r="P602" s="24"/>
      <c r="Q602" s="24"/>
      <c r="R602" s="398"/>
      <c r="S602" s="398"/>
      <c r="T602" s="398"/>
      <c r="U602" s="398"/>
      <c r="V602" s="398"/>
      <c r="W602" s="398"/>
      <c r="X602" s="398"/>
      <c r="Y602" s="398"/>
      <c r="Z602" s="398"/>
      <c r="AA602" s="398"/>
      <c r="AB602" s="200"/>
      <c r="AC602" s="1"/>
      <c r="AD602" s="1"/>
      <c r="AE602" s="1"/>
      <c r="AF602" s="1"/>
      <c r="AG602" s="1"/>
      <c r="AH602" s="1"/>
      <c r="AI602" s="1"/>
      <c r="AJ602" s="1"/>
      <c r="AK602" s="1"/>
      <c r="AL602" s="1"/>
      <c r="AM602" s="1"/>
      <c r="AN602" s="1"/>
      <c r="AO602" s="1"/>
      <c r="AP602" s="1"/>
      <c r="AQ602" s="1"/>
      <c r="AR602" s="1"/>
      <c r="AS602" s="1"/>
      <c r="AT602" s="1"/>
      <c r="AU602" s="1"/>
      <c r="AV602" s="1"/>
      <c r="AW602" s="1"/>
      <c r="AX602" s="1"/>
      <c r="AY602" s="1"/>
    </row>
    <row r="603" spans="1:51" ht="16.95" customHeight="1">
      <c r="A603" s="199"/>
      <c r="B603" s="24"/>
      <c r="C603" s="24"/>
      <c r="D603" s="24"/>
      <c r="E603" s="24"/>
      <c r="F603" s="24"/>
      <c r="G603" s="24"/>
      <c r="H603" s="24"/>
      <c r="I603" s="24"/>
      <c r="J603" s="24"/>
      <c r="K603" s="24"/>
      <c r="L603" s="24"/>
      <c r="M603" s="24"/>
      <c r="N603" s="200"/>
      <c r="O603" s="199"/>
      <c r="P603" s="24"/>
      <c r="Q603" s="24"/>
      <c r="R603" s="398"/>
      <c r="S603" s="398"/>
      <c r="T603" s="398"/>
      <c r="U603" s="398"/>
      <c r="V603" s="398"/>
      <c r="W603" s="398"/>
      <c r="X603" s="398"/>
      <c r="Y603" s="398"/>
      <c r="Z603" s="398"/>
      <c r="AA603" s="398"/>
      <c r="AB603" s="200"/>
      <c r="AC603" s="1"/>
      <c r="AD603" s="1"/>
      <c r="AE603" s="1"/>
      <c r="AF603" s="1"/>
      <c r="AG603" s="1"/>
      <c r="AH603" s="1"/>
      <c r="AI603" s="1"/>
      <c r="AJ603" s="1"/>
      <c r="AK603" s="1"/>
      <c r="AL603" s="1"/>
      <c r="AM603" s="1"/>
      <c r="AN603" s="1"/>
      <c r="AO603" s="1"/>
      <c r="AP603" s="1"/>
      <c r="AQ603" s="1"/>
      <c r="AR603" s="1"/>
      <c r="AS603" s="1"/>
      <c r="AT603" s="1"/>
      <c r="AU603" s="1"/>
      <c r="AV603" s="1"/>
      <c r="AW603" s="1"/>
      <c r="AX603" s="1"/>
      <c r="AY603" s="1"/>
    </row>
    <row r="604" spans="1:51" ht="16.95" customHeight="1">
      <c r="A604" s="199"/>
      <c r="B604" s="24"/>
      <c r="C604" s="24"/>
      <c r="D604" s="24"/>
      <c r="E604" s="24"/>
      <c r="F604" s="24"/>
      <c r="G604" s="24"/>
      <c r="H604" s="24"/>
      <c r="I604" s="24"/>
      <c r="J604" s="24"/>
      <c r="K604" s="24"/>
      <c r="L604" s="24"/>
      <c r="M604" s="24"/>
      <c r="N604" s="200"/>
      <c r="O604" s="199"/>
      <c r="P604" s="24"/>
      <c r="Q604" s="24"/>
      <c r="R604" s="398"/>
      <c r="S604" s="398"/>
      <c r="T604" s="398"/>
      <c r="U604" s="398"/>
      <c r="V604" s="398"/>
      <c r="W604" s="398"/>
      <c r="X604" s="398"/>
      <c r="Y604" s="398"/>
      <c r="Z604" s="398"/>
      <c r="AA604" s="398"/>
      <c r="AB604" s="200"/>
      <c r="AC604" s="1"/>
      <c r="AD604" s="1"/>
      <c r="AE604" s="1"/>
      <c r="AF604" s="1"/>
      <c r="AG604" s="1"/>
      <c r="AH604" s="1"/>
      <c r="AI604" s="1"/>
      <c r="AJ604" s="1"/>
      <c r="AK604" s="1"/>
      <c r="AL604" s="1"/>
      <c r="AM604" s="1"/>
      <c r="AN604" s="1"/>
      <c r="AO604" s="1"/>
      <c r="AP604" s="1"/>
      <c r="AQ604" s="1"/>
      <c r="AR604" s="1"/>
      <c r="AS604" s="1"/>
      <c r="AT604" s="1"/>
      <c r="AU604" s="1"/>
      <c r="AV604" s="1"/>
      <c r="AW604" s="1"/>
      <c r="AX604" s="1"/>
      <c r="AY604" s="1"/>
    </row>
    <row r="605" spans="1:51" ht="16.95" customHeight="1">
      <c r="A605" s="199"/>
      <c r="B605" s="24"/>
      <c r="C605" s="24"/>
      <c r="D605" s="24"/>
      <c r="E605" s="24"/>
      <c r="F605" s="24"/>
      <c r="G605" s="24"/>
      <c r="H605" s="24"/>
      <c r="I605" s="24"/>
      <c r="J605" s="24"/>
      <c r="K605" s="24"/>
      <c r="L605" s="24"/>
      <c r="M605" s="24"/>
      <c r="N605" s="200"/>
      <c r="O605" s="199"/>
      <c r="P605" s="24"/>
      <c r="Q605" s="24"/>
      <c r="R605" s="398"/>
      <c r="S605" s="398"/>
      <c r="T605" s="398"/>
      <c r="U605" s="398"/>
      <c r="V605" s="398"/>
      <c r="W605" s="398"/>
      <c r="X605" s="398"/>
      <c r="Y605" s="398"/>
      <c r="Z605" s="398"/>
      <c r="AA605" s="398"/>
      <c r="AB605" s="200"/>
      <c r="AC605" s="1"/>
      <c r="AD605" s="1"/>
      <c r="AE605" s="1"/>
      <c r="AF605" s="1"/>
      <c r="AG605" s="1"/>
      <c r="AH605" s="1"/>
      <c r="AI605" s="1"/>
      <c r="AJ605" s="1"/>
      <c r="AK605" s="1"/>
      <c r="AL605" s="1"/>
      <c r="AM605" s="1"/>
      <c r="AN605" s="1"/>
      <c r="AO605" s="1"/>
      <c r="AP605" s="1"/>
      <c r="AQ605" s="1"/>
      <c r="AR605" s="1"/>
      <c r="AS605" s="1"/>
      <c r="AT605" s="1"/>
      <c r="AU605" s="1"/>
      <c r="AV605" s="1"/>
      <c r="AW605" s="1"/>
      <c r="AX605" s="1"/>
      <c r="AY605" s="1"/>
    </row>
    <row r="606" spans="1:51" ht="15" customHeight="1">
      <c r="A606" s="199"/>
      <c r="B606" s="24"/>
      <c r="C606" s="24"/>
      <c r="D606" s="24"/>
      <c r="E606" s="24"/>
      <c r="F606" s="24"/>
      <c r="G606" s="24"/>
      <c r="H606" s="24"/>
      <c r="I606" s="24"/>
      <c r="J606" s="24"/>
      <c r="K606" s="24"/>
      <c r="L606" s="24"/>
      <c r="M606" s="24"/>
      <c r="N606" s="200"/>
      <c r="O606" s="199"/>
      <c r="P606" s="24"/>
      <c r="Q606" s="24"/>
      <c r="R606" s="398"/>
      <c r="S606" s="398"/>
      <c r="T606" s="398"/>
      <c r="U606" s="398"/>
      <c r="V606" s="398"/>
      <c r="W606" s="398"/>
      <c r="X606" s="398"/>
      <c r="Y606" s="398"/>
      <c r="Z606" s="398"/>
      <c r="AA606" s="398"/>
      <c r="AB606" s="200"/>
      <c r="AC606" s="1"/>
      <c r="AD606" s="1"/>
      <c r="AE606" s="1"/>
      <c r="AF606" s="1"/>
      <c r="AG606" s="1"/>
      <c r="AH606" s="1"/>
      <c r="AI606" s="1"/>
      <c r="AJ606" s="1"/>
      <c r="AK606" s="1"/>
      <c r="AL606" s="1"/>
      <c r="AM606" s="1"/>
      <c r="AN606" s="1"/>
      <c r="AO606" s="1"/>
      <c r="AP606" s="1"/>
      <c r="AQ606" s="1"/>
      <c r="AR606" s="1"/>
      <c r="AS606" s="1"/>
      <c r="AT606" s="1"/>
      <c r="AU606" s="1"/>
      <c r="AV606" s="1"/>
      <c r="AW606" s="1"/>
      <c r="AX606" s="1"/>
      <c r="AY606" s="1"/>
    </row>
    <row r="607" spans="1:51" ht="4.95" customHeight="1">
      <c r="A607" s="199"/>
      <c r="B607" s="24"/>
      <c r="C607" s="24"/>
      <c r="D607" s="24"/>
      <c r="E607" s="24"/>
      <c r="F607" s="24"/>
      <c r="G607" s="24"/>
      <c r="H607" s="24"/>
      <c r="I607" s="24"/>
      <c r="J607" s="24"/>
      <c r="K607" s="24"/>
      <c r="L607" s="24"/>
      <c r="M607" s="24"/>
      <c r="N607" s="200"/>
      <c r="O607" s="199"/>
      <c r="P607" s="24"/>
      <c r="Q607" s="24"/>
      <c r="R607" s="398"/>
      <c r="S607" s="398"/>
      <c r="T607" s="398"/>
      <c r="U607" s="398"/>
      <c r="V607" s="398"/>
      <c r="W607" s="398"/>
      <c r="X607" s="398"/>
      <c r="Y607" s="398"/>
      <c r="Z607" s="398"/>
      <c r="AA607" s="398"/>
      <c r="AB607" s="200"/>
      <c r="AC607" s="1"/>
      <c r="AD607" s="1"/>
      <c r="AE607" s="1"/>
      <c r="AF607" s="1"/>
      <c r="AG607" s="1"/>
      <c r="AH607" s="1"/>
      <c r="AI607" s="1"/>
      <c r="AJ607" s="1"/>
      <c r="AK607" s="1"/>
      <c r="AL607" s="1"/>
      <c r="AM607" s="1"/>
      <c r="AN607" s="1"/>
      <c r="AO607" s="1"/>
      <c r="AP607" s="1"/>
      <c r="AQ607" s="1"/>
      <c r="AR607" s="1"/>
      <c r="AS607" s="1"/>
      <c r="AT607" s="1"/>
      <c r="AU607" s="1"/>
      <c r="AV607" s="1"/>
      <c r="AW607" s="1"/>
      <c r="AX607" s="1"/>
      <c r="AY607" s="1"/>
    </row>
    <row r="608" spans="1:51" ht="30" customHeight="1">
      <c r="A608" s="210" t="s">
        <v>1148</v>
      </c>
      <c r="B608" s="396" t="s">
        <v>1752</v>
      </c>
      <c r="C608" s="582"/>
      <c r="D608" s="582"/>
      <c r="E608" s="583"/>
      <c r="F608" s="584"/>
      <c r="G608" s="582"/>
      <c r="H608" s="582"/>
      <c r="I608" s="582"/>
      <c r="J608" s="582"/>
      <c r="K608" s="373"/>
      <c r="L608" s="373"/>
      <c r="M608" s="373"/>
      <c r="N608" s="211" t="s">
        <v>1149</v>
      </c>
      <c r="O608" s="372"/>
      <c r="P608" s="396" t="s">
        <v>1273</v>
      </c>
      <c r="Q608" s="373"/>
      <c r="R608" s="373"/>
      <c r="S608" s="373"/>
      <c r="T608" s="373"/>
      <c r="U608" s="373"/>
      <c r="V608" s="373"/>
      <c r="W608" s="373"/>
      <c r="X608" s="373"/>
      <c r="Y608" s="373"/>
      <c r="Z608" s="373"/>
      <c r="AA608" s="373"/>
      <c r="AB608" s="211" t="s">
        <v>1149</v>
      </c>
      <c r="AC608" s="577"/>
      <c r="AD608" s="1"/>
      <c r="AE608" s="577"/>
      <c r="AF608" s="577"/>
      <c r="AG608" s="577"/>
      <c r="AH608" s="577"/>
      <c r="AI608" s="577"/>
      <c r="AJ608" s="577"/>
      <c r="AK608" s="577"/>
      <c r="AL608" s="577"/>
      <c r="AM608" s="577"/>
      <c r="AN608" s="577"/>
      <c r="AO608" s="577"/>
      <c r="AP608" s="577"/>
      <c r="AQ608" s="577"/>
      <c r="AR608" s="577"/>
      <c r="AS608" s="577"/>
      <c r="AT608" s="577"/>
      <c r="AU608" s="577"/>
      <c r="AV608" s="577"/>
      <c r="AW608" s="577"/>
      <c r="AX608" s="577"/>
      <c r="AY608" s="577"/>
    </row>
    <row r="609" spans="1:51" ht="10.050000000000001" customHeight="1">
      <c r="A609" s="199"/>
      <c r="B609" s="24"/>
      <c r="C609" s="24"/>
      <c r="D609" s="24"/>
      <c r="E609" s="24"/>
      <c r="F609" s="24"/>
      <c r="G609" s="24"/>
      <c r="H609" s="24"/>
      <c r="I609" s="24"/>
      <c r="J609" s="24"/>
      <c r="K609" s="24"/>
      <c r="L609" s="24"/>
      <c r="M609" s="24"/>
      <c r="N609" s="200"/>
      <c r="O609" s="199"/>
      <c r="P609" s="24"/>
      <c r="Q609" s="24"/>
      <c r="R609" s="398"/>
      <c r="S609" s="398"/>
      <c r="T609" s="398"/>
      <c r="U609" s="398"/>
      <c r="V609" s="398"/>
      <c r="W609" s="398"/>
      <c r="X609" s="398"/>
      <c r="Y609" s="398"/>
      <c r="Z609" s="398"/>
      <c r="AA609" s="398"/>
      <c r="AB609" s="200"/>
      <c r="AC609" s="1"/>
      <c r="AD609" s="1"/>
      <c r="AE609" s="1"/>
      <c r="AF609" s="1"/>
      <c r="AG609" s="1"/>
      <c r="AH609" s="1"/>
      <c r="AI609" s="1"/>
      <c r="AJ609" s="1"/>
      <c r="AK609" s="1"/>
      <c r="AL609" s="1"/>
      <c r="AM609" s="1"/>
      <c r="AN609" s="1"/>
      <c r="AO609" s="1"/>
      <c r="AP609" s="1"/>
      <c r="AQ609" s="1"/>
      <c r="AR609" s="1"/>
      <c r="AS609" s="1"/>
      <c r="AT609" s="1"/>
      <c r="AU609" s="1"/>
      <c r="AV609" s="1"/>
      <c r="AW609" s="1"/>
      <c r="AX609" s="1"/>
      <c r="AY609" s="1"/>
    </row>
    <row r="610" spans="1:51" ht="79.95" customHeight="1">
      <c r="A610" s="199"/>
      <c r="B610" s="1294" t="s">
        <v>2026</v>
      </c>
      <c r="C610" s="1294"/>
      <c r="D610" s="1294"/>
      <c r="E610" s="1294"/>
      <c r="F610" s="1294"/>
      <c r="G610" s="1294"/>
      <c r="H610" s="1294"/>
      <c r="I610" s="1294"/>
      <c r="J610" s="1294"/>
      <c r="K610" s="1294"/>
      <c r="L610" s="1294"/>
      <c r="M610" s="1294"/>
      <c r="N610" s="200"/>
      <c r="O610" s="199"/>
      <c r="P610" s="24"/>
      <c r="Q610" s="24"/>
      <c r="R610" s="398"/>
      <c r="S610" s="398"/>
      <c r="T610" s="398"/>
      <c r="U610" s="398"/>
      <c r="V610" s="398"/>
      <c r="W610" s="398"/>
      <c r="X610" s="398"/>
      <c r="Y610" s="398"/>
      <c r="Z610" s="398"/>
      <c r="AA610" s="398"/>
      <c r="AB610" s="200"/>
      <c r="AC610" s="1"/>
      <c r="AD610" s="1"/>
      <c r="AE610" s="1"/>
      <c r="AF610" s="1"/>
      <c r="AG610" s="1"/>
      <c r="AH610" s="1"/>
      <c r="AI610" s="1"/>
      <c r="AJ610" s="1"/>
      <c r="AK610" s="1"/>
      <c r="AL610" s="1"/>
      <c r="AM610" s="1"/>
      <c r="AN610" s="1"/>
      <c r="AO610" s="1"/>
      <c r="AP610" s="1"/>
      <c r="AQ610" s="1"/>
      <c r="AR610" s="1"/>
      <c r="AS610" s="1"/>
      <c r="AT610" s="1"/>
      <c r="AU610" s="1"/>
      <c r="AV610" s="1"/>
      <c r="AW610" s="1"/>
      <c r="AX610" s="1"/>
      <c r="AY610" s="1"/>
    </row>
    <row r="611" spans="1:51" ht="4.95" customHeight="1">
      <c r="A611" s="199"/>
      <c r="B611" s="24"/>
      <c r="C611" s="24"/>
      <c r="D611" s="24"/>
      <c r="E611" s="24"/>
      <c r="F611" s="24"/>
      <c r="G611" s="24"/>
      <c r="H611" s="24"/>
      <c r="I611" s="24"/>
      <c r="J611" s="24"/>
      <c r="K611" s="24"/>
      <c r="L611" s="24"/>
      <c r="M611" s="24"/>
      <c r="N611" s="200"/>
      <c r="O611" s="199"/>
      <c r="P611" s="24"/>
      <c r="Q611" s="24"/>
      <c r="R611" s="398"/>
      <c r="S611" s="398"/>
      <c r="T611" s="398"/>
      <c r="U611" s="398"/>
      <c r="V611" s="398"/>
      <c r="W611" s="398"/>
      <c r="X611" s="398"/>
      <c r="Y611" s="398"/>
      <c r="Z611" s="398"/>
      <c r="AA611" s="398"/>
      <c r="AB611" s="200"/>
      <c r="AC611" s="1"/>
      <c r="AD611" s="1"/>
      <c r="AE611" s="1"/>
      <c r="AF611" s="1"/>
      <c r="AG611" s="1"/>
      <c r="AH611" s="1"/>
      <c r="AI611" s="1"/>
      <c r="AJ611" s="1"/>
      <c r="AK611" s="1"/>
      <c r="AL611" s="1"/>
      <c r="AM611" s="1"/>
      <c r="AN611" s="1"/>
      <c r="AO611" s="1"/>
      <c r="AP611" s="1"/>
      <c r="AQ611" s="1"/>
      <c r="AR611" s="1"/>
      <c r="AS611" s="1"/>
      <c r="AT611" s="1"/>
      <c r="AU611" s="1"/>
      <c r="AV611" s="1"/>
      <c r="AW611" s="1"/>
      <c r="AX611" s="1"/>
      <c r="AY611" s="1"/>
    </row>
    <row r="612" spans="1:51" s="504" customFormat="1" ht="33" customHeight="1">
      <c r="A612" s="499"/>
      <c r="B612" s="1312" t="s">
        <v>1767</v>
      </c>
      <c r="C612" s="1312"/>
      <c r="D612" s="1312"/>
      <c r="E612" s="1312"/>
      <c r="F612" s="1312"/>
      <c r="G612" s="1312"/>
      <c r="H612" s="538"/>
      <c r="I612" s="501"/>
      <c r="J612" s="501"/>
      <c r="K612" s="501"/>
      <c r="L612" s="501"/>
      <c r="M612" s="501"/>
      <c r="N612" s="502"/>
      <c r="O612" s="499"/>
      <c r="P612" s="501"/>
      <c r="Q612" s="501"/>
      <c r="R612" s="503"/>
      <c r="S612" s="503"/>
      <c r="T612" s="503"/>
      <c r="U612" s="503"/>
      <c r="V612" s="503"/>
      <c r="W612" s="503"/>
      <c r="X612" s="503"/>
      <c r="Y612" s="503"/>
      <c r="Z612" s="503"/>
      <c r="AA612" s="503"/>
      <c r="AB612" s="502"/>
      <c r="AC612" s="578"/>
      <c r="AD612" s="578"/>
      <c r="AE612" s="578"/>
      <c r="AF612" s="578"/>
      <c r="AG612" s="578"/>
      <c r="AH612" s="578"/>
      <c r="AI612" s="578"/>
      <c r="AJ612" s="578"/>
      <c r="AK612" s="578"/>
      <c r="AL612" s="578"/>
      <c r="AM612" s="578"/>
      <c r="AN612" s="578"/>
      <c r="AO612" s="578"/>
      <c r="AP612" s="578"/>
      <c r="AQ612" s="578"/>
      <c r="AR612" s="578"/>
      <c r="AS612" s="578"/>
      <c r="AT612" s="578"/>
      <c r="AU612" s="578"/>
      <c r="AV612" s="578"/>
      <c r="AW612" s="578"/>
      <c r="AX612" s="578"/>
      <c r="AY612" s="578"/>
    </row>
    <row r="613" spans="1:51" ht="19.05" customHeight="1">
      <c r="A613" s="199"/>
      <c r="B613" s="1322" t="s">
        <v>1772</v>
      </c>
      <c r="C613" s="1322"/>
      <c r="D613" s="1322"/>
      <c r="E613" s="1322"/>
      <c r="F613" s="1322"/>
      <c r="G613" s="1322"/>
      <c r="H613" s="1322"/>
      <c r="I613" s="24"/>
      <c r="J613" s="24"/>
      <c r="K613" s="24"/>
      <c r="L613" s="24"/>
      <c r="M613" s="24"/>
      <c r="N613" s="200"/>
      <c r="O613" s="199"/>
      <c r="P613" s="24"/>
      <c r="Q613" s="24"/>
      <c r="R613" s="398"/>
      <c r="S613" s="398"/>
      <c r="T613" s="398"/>
      <c r="U613" s="398"/>
      <c r="V613" s="398"/>
      <c r="W613" s="398"/>
      <c r="X613" s="398"/>
      <c r="Y613" s="398"/>
      <c r="Z613" s="398"/>
      <c r="AA613" s="398"/>
      <c r="AB613" s="200"/>
      <c r="AC613" s="1"/>
      <c r="AD613" s="1"/>
      <c r="AE613" s="1"/>
      <c r="AF613" s="1"/>
      <c r="AG613" s="1"/>
      <c r="AH613" s="1"/>
      <c r="AI613" s="1"/>
      <c r="AJ613" s="1"/>
      <c r="AK613" s="1"/>
      <c r="AL613" s="1"/>
      <c r="AM613" s="1"/>
      <c r="AN613" s="1"/>
      <c r="AO613" s="1"/>
      <c r="AP613" s="1"/>
      <c r="AQ613" s="1"/>
      <c r="AR613" s="1"/>
      <c r="AS613" s="1"/>
      <c r="AT613" s="1"/>
      <c r="AU613" s="1"/>
      <c r="AV613" s="1"/>
      <c r="AW613" s="1"/>
      <c r="AX613" s="1"/>
      <c r="AY613" s="1"/>
    </row>
    <row r="614" spans="1:51" ht="19.05" customHeight="1">
      <c r="A614" s="199"/>
      <c r="B614" s="1322"/>
      <c r="C614" s="1322"/>
      <c r="D614" s="1322"/>
      <c r="E614" s="1322"/>
      <c r="F614" s="1322"/>
      <c r="G614" s="1322"/>
      <c r="H614" s="1322"/>
      <c r="I614" s="24"/>
      <c r="J614" s="24"/>
      <c r="K614" s="24"/>
      <c r="L614" s="24"/>
      <c r="M614" s="24"/>
      <c r="N614" s="200"/>
      <c r="O614" s="199"/>
      <c r="P614" s="24"/>
      <c r="Q614" s="24"/>
      <c r="R614" s="398"/>
      <c r="S614" s="398"/>
      <c r="T614" s="398"/>
      <c r="U614" s="398"/>
      <c r="V614" s="398"/>
      <c r="W614" s="398"/>
      <c r="X614" s="398"/>
      <c r="Y614" s="398"/>
      <c r="Z614" s="398"/>
      <c r="AA614" s="398"/>
      <c r="AB614" s="200"/>
      <c r="AC614" s="1"/>
      <c r="AD614" s="1"/>
      <c r="AE614" s="1"/>
      <c r="AF614" s="1"/>
      <c r="AG614" s="1"/>
      <c r="AH614" s="1"/>
      <c r="AI614" s="1"/>
      <c r="AJ614" s="1"/>
      <c r="AK614" s="1"/>
      <c r="AL614" s="1"/>
      <c r="AM614" s="1"/>
      <c r="AN614" s="1"/>
      <c r="AO614" s="1"/>
      <c r="AP614" s="1"/>
      <c r="AQ614" s="1"/>
      <c r="AR614" s="1"/>
      <c r="AS614" s="1"/>
      <c r="AT614" s="1"/>
      <c r="AU614" s="1"/>
      <c r="AV614" s="1"/>
      <c r="AW614" s="1"/>
      <c r="AX614" s="1"/>
      <c r="AY614" s="1"/>
    </row>
    <row r="615" spans="1:51" ht="19.05" customHeight="1">
      <c r="A615" s="199"/>
      <c r="B615" s="1322"/>
      <c r="C615" s="1322"/>
      <c r="D615" s="1322"/>
      <c r="E615" s="1322"/>
      <c r="F615" s="1322"/>
      <c r="G615" s="1322"/>
      <c r="H615" s="1322"/>
      <c r="I615" s="24"/>
      <c r="J615" s="24"/>
      <c r="K615" s="24"/>
      <c r="L615" s="24"/>
      <c r="M615" s="24"/>
      <c r="N615" s="200"/>
      <c r="O615" s="199"/>
      <c r="P615" s="24"/>
      <c r="Q615" s="24"/>
      <c r="R615" s="398"/>
      <c r="S615" s="398"/>
      <c r="T615" s="398"/>
      <c r="U615" s="398"/>
      <c r="V615" s="398"/>
      <c r="W615" s="398"/>
      <c r="X615" s="398"/>
      <c r="Y615" s="398"/>
      <c r="Z615" s="398"/>
      <c r="AA615" s="398"/>
      <c r="AB615" s="200"/>
      <c r="AC615" s="1"/>
      <c r="AD615" s="1"/>
      <c r="AE615" s="1"/>
      <c r="AF615" s="1"/>
      <c r="AG615" s="1"/>
      <c r="AH615" s="1"/>
      <c r="AI615" s="1"/>
      <c r="AJ615" s="1"/>
      <c r="AK615" s="1"/>
      <c r="AL615" s="1"/>
      <c r="AM615" s="1"/>
      <c r="AN615" s="1"/>
      <c r="AO615" s="1"/>
      <c r="AP615" s="1"/>
      <c r="AQ615" s="1"/>
      <c r="AR615" s="1"/>
      <c r="AS615" s="1"/>
      <c r="AT615" s="1"/>
      <c r="AU615" s="1"/>
      <c r="AV615" s="1"/>
      <c r="AW615" s="1"/>
      <c r="AX615" s="1"/>
      <c r="AY615" s="1"/>
    </row>
    <row r="616" spans="1:51" ht="19.05" customHeight="1">
      <c r="A616" s="199"/>
      <c r="B616" s="1322"/>
      <c r="C616" s="1322"/>
      <c r="D616" s="1322"/>
      <c r="E616" s="1322"/>
      <c r="F616" s="1322"/>
      <c r="G616" s="1322"/>
      <c r="H616" s="1322"/>
      <c r="I616" s="24"/>
      <c r="J616" s="24"/>
      <c r="K616" s="24"/>
      <c r="L616" s="24"/>
      <c r="M616" s="24"/>
      <c r="N616" s="200"/>
      <c r="O616" s="199"/>
      <c r="P616" s="24"/>
      <c r="Q616" s="24"/>
      <c r="R616" s="398"/>
      <c r="S616" s="398"/>
      <c r="T616" s="398"/>
      <c r="U616" s="398"/>
      <c r="V616" s="398"/>
      <c r="W616" s="398"/>
      <c r="X616" s="398"/>
      <c r="Y616" s="398"/>
      <c r="Z616" s="398"/>
      <c r="AA616" s="398"/>
      <c r="AB616" s="200"/>
      <c r="AC616" s="1"/>
      <c r="AD616" s="1"/>
      <c r="AE616" s="1"/>
      <c r="AF616" s="1"/>
      <c r="AG616" s="1"/>
      <c r="AH616" s="1"/>
      <c r="AI616" s="1"/>
      <c r="AJ616" s="1"/>
      <c r="AK616" s="1"/>
      <c r="AL616" s="1"/>
      <c r="AM616" s="1"/>
      <c r="AN616" s="1"/>
      <c r="AO616" s="1"/>
      <c r="AP616" s="1"/>
      <c r="AQ616" s="1"/>
      <c r="AR616" s="1"/>
      <c r="AS616" s="1"/>
      <c r="AT616" s="1"/>
      <c r="AU616" s="1"/>
      <c r="AV616" s="1"/>
      <c r="AW616" s="1"/>
      <c r="AX616" s="1"/>
      <c r="AY616" s="1"/>
    </row>
    <row r="617" spans="1:51" ht="19.05" customHeight="1">
      <c r="A617" s="199"/>
      <c r="B617" s="1322"/>
      <c r="C617" s="1322"/>
      <c r="D617" s="1322"/>
      <c r="E617" s="1322"/>
      <c r="F617" s="1322"/>
      <c r="G617" s="1322"/>
      <c r="H617" s="1322"/>
      <c r="I617" s="24"/>
      <c r="J617" s="24"/>
      <c r="K617" s="24"/>
      <c r="L617" s="24"/>
      <c r="M617" s="24"/>
      <c r="N617" s="200"/>
      <c r="O617" s="199"/>
      <c r="P617" s="24"/>
      <c r="Q617" s="24"/>
      <c r="R617" s="398"/>
      <c r="S617" s="398"/>
      <c r="T617" s="398"/>
      <c r="U617" s="398"/>
      <c r="V617" s="398"/>
      <c r="W617" s="398"/>
      <c r="X617" s="398"/>
      <c r="Y617" s="398"/>
      <c r="Z617" s="398"/>
      <c r="AA617" s="398"/>
      <c r="AB617" s="200"/>
      <c r="AC617" s="1"/>
      <c r="AD617" s="1"/>
      <c r="AE617" s="1"/>
      <c r="AF617" s="1"/>
      <c r="AG617" s="1"/>
      <c r="AH617" s="1"/>
      <c r="AI617" s="1"/>
      <c r="AJ617" s="1"/>
      <c r="AK617" s="1"/>
      <c r="AL617" s="1"/>
      <c r="AM617" s="1"/>
      <c r="AN617" s="1"/>
      <c r="AO617" s="1"/>
      <c r="AP617" s="1"/>
      <c r="AQ617" s="1"/>
      <c r="AR617" s="1"/>
      <c r="AS617" s="1"/>
      <c r="AT617" s="1"/>
      <c r="AU617" s="1"/>
      <c r="AV617" s="1"/>
      <c r="AW617" s="1"/>
      <c r="AX617" s="1"/>
      <c r="AY617" s="1"/>
    </row>
    <row r="618" spans="1:51" ht="19.05" customHeight="1">
      <c r="A618" s="199"/>
      <c r="B618" s="1322"/>
      <c r="C618" s="1322"/>
      <c r="D618" s="1322"/>
      <c r="E618" s="1322"/>
      <c r="F618" s="1322"/>
      <c r="G618" s="1322"/>
      <c r="H618" s="1322"/>
      <c r="I618" s="24"/>
      <c r="J618" s="24"/>
      <c r="K618" s="24"/>
      <c r="L618" s="24"/>
      <c r="M618" s="24"/>
      <c r="N618" s="200"/>
      <c r="O618" s="199"/>
      <c r="P618" s="24"/>
      <c r="Q618" s="24"/>
      <c r="R618" s="398"/>
      <c r="S618" s="398"/>
      <c r="T618" s="398"/>
      <c r="U618" s="398"/>
      <c r="V618" s="398"/>
      <c r="W618" s="398"/>
      <c r="X618" s="398"/>
      <c r="Y618" s="398"/>
      <c r="Z618" s="398"/>
      <c r="AA618" s="398"/>
      <c r="AB618" s="200"/>
      <c r="AC618" s="1"/>
      <c r="AD618" s="1"/>
      <c r="AE618" s="1"/>
      <c r="AF618" s="1"/>
      <c r="AG618" s="1"/>
      <c r="AH618" s="1"/>
      <c r="AI618" s="1"/>
      <c r="AJ618" s="1"/>
      <c r="AK618" s="1"/>
      <c r="AL618" s="1"/>
      <c r="AM618" s="1"/>
      <c r="AN618" s="1"/>
      <c r="AO618" s="1"/>
      <c r="AP618" s="1"/>
      <c r="AQ618" s="1"/>
      <c r="AR618" s="1"/>
      <c r="AS618" s="1"/>
      <c r="AT618" s="1"/>
      <c r="AU618" s="1"/>
      <c r="AV618" s="1"/>
      <c r="AW618" s="1"/>
      <c r="AX618" s="1"/>
      <c r="AY618" s="1"/>
    </row>
    <row r="619" spans="1:51" ht="4.95" customHeight="1">
      <c r="A619" s="199"/>
      <c r="B619" s="390"/>
      <c r="C619" s="390"/>
      <c r="D619" s="390"/>
      <c r="E619" s="390"/>
      <c r="F619" s="390"/>
      <c r="G619" s="390"/>
      <c r="H619" s="390"/>
      <c r="I619" s="24"/>
      <c r="J619" s="24"/>
      <c r="K619" s="24"/>
      <c r="L619" s="24"/>
      <c r="M619" s="24"/>
      <c r="N619" s="200"/>
      <c r="O619" s="199"/>
      <c r="P619" s="24"/>
      <c r="Q619" s="24"/>
      <c r="R619" s="398"/>
      <c r="S619" s="398"/>
      <c r="T619" s="398"/>
      <c r="U619" s="398"/>
      <c r="V619" s="398"/>
      <c r="W619" s="398"/>
      <c r="X619" s="398"/>
      <c r="Y619" s="398"/>
      <c r="Z619" s="398"/>
      <c r="AA619" s="398"/>
      <c r="AB619" s="200"/>
      <c r="AC619" s="1"/>
      <c r="AD619" s="1"/>
      <c r="AE619" s="1"/>
      <c r="AF619" s="1"/>
      <c r="AG619" s="1"/>
      <c r="AH619" s="1"/>
      <c r="AI619" s="1"/>
      <c r="AJ619" s="1"/>
      <c r="AK619" s="1"/>
      <c r="AL619" s="1"/>
      <c r="AM619" s="1"/>
      <c r="AN619" s="1"/>
      <c r="AO619" s="1"/>
      <c r="AP619" s="1"/>
      <c r="AQ619" s="1"/>
      <c r="AR619" s="1"/>
      <c r="AS619" s="1"/>
      <c r="AT619" s="1"/>
      <c r="AU619" s="1"/>
      <c r="AV619" s="1"/>
      <c r="AW619" s="1"/>
      <c r="AX619" s="1"/>
      <c r="AY619" s="1"/>
    </row>
    <row r="620" spans="1:51" ht="16.95" customHeight="1">
      <c r="A620" s="199"/>
      <c r="B620" s="1322" t="s">
        <v>2027</v>
      </c>
      <c r="C620" s="1322"/>
      <c r="D620" s="1322"/>
      <c r="E620" s="1322"/>
      <c r="F620" s="1322"/>
      <c r="G620" s="1322"/>
      <c r="H620" s="1322"/>
      <c r="I620" s="1322"/>
      <c r="J620" s="1322"/>
      <c r="K620" s="1322"/>
      <c r="L620" s="1322"/>
      <c r="M620" s="1322"/>
      <c r="N620" s="200"/>
      <c r="O620" s="199"/>
      <c r="P620" s="24"/>
      <c r="Q620" s="24"/>
      <c r="R620" s="398"/>
      <c r="S620" s="398"/>
      <c r="T620" s="398"/>
      <c r="U620" s="398"/>
      <c r="V620" s="398"/>
      <c r="W620" s="398"/>
      <c r="X620" s="398"/>
      <c r="Y620" s="398"/>
      <c r="Z620" s="398"/>
      <c r="AA620" s="398"/>
      <c r="AB620" s="200"/>
      <c r="AC620" s="1"/>
      <c r="AD620" s="1"/>
      <c r="AE620" s="1"/>
      <c r="AF620" s="1"/>
      <c r="AG620" s="1"/>
      <c r="AH620" s="1"/>
      <c r="AI620" s="1"/>
      <c r="AJ620" s="1"/>
      <c r="AK620" s="1"/>
      <c r="AL620" s="1"/>
      <c r="AM620" s="1"/>
      <c r="AN620" s="1"/>
      <c r="AO620" s="1"/>
      <c r="AP620" s="1"/>
      <c r="AQ620" s="1"/>
      <c r="AR620" s="1"/>
      <c r="AS620" s="1"/>
      <c r="AT620" s="1"/>
      <c r="AU620" s="1"/>
      <c r="AV620" s="1"/>
      <c r="AW620" s="1"/>
      <c r="AX620" s="1"/>
      <c r="AY620" s="1"/>
    </row>
    <row r="621" spans="1:51" ht="16.95" customHeight="1">
      <c r="A621" s="199"/>
      <c r="B621" s="1322"/>
      <c r="C621" s="1322"/>
      <c r="D621" s="1322"/>
      <c r="E621" s="1322"/>
      <c r="F621" s="1322"/>
      <c r="G621" s="1322"/>
      <c r="H621" s="1322"/>
      <c r="I621" s="1322"/>
      <c r="J621" s="1322"/>
      <c r="K621" s="1322"/>
      <c r="L621" s="1322"/>
      <c r="M621" s="1322"/>
      <c r="N621" s="200"/>
      <c r="O621" s="199"/>
      <c r="P621" s="24"/>
      <c r="Q621" s="24"/>
      <c r="R621" s="398"/>
      <c r="S621" s="398"/>
      <c r="T621" s="398"/>
      <c r="U621" s="398"/>
      <c r="V621" s="398"/>
      <c r="W621" s="398"/>
      <c r="X621" s="398"/>
      <c r="Y621" s="398"/>
      <c r="Z621" s="398"/>
      <c r="AA621" s="398"/>
      <c r="AB621" s="200"/>
      <c r="AC621" s="1"/>
      <c r="AD621" s="1"/>
      <c r="AE621" s="1"/>
      <c r="AF621" s="1"/>
      <c r="AG621" s="1"/>
      <c r="AH621" s="1"/>
      <c r="AI621" s="1"/>
      <c r="AJ621" s="1"/>
      <c r="AK621" s="1"/>
      <c r="AL621" s="1"/>
      <c r="AM621" s="1"/>
      <c r="AN621" s="1"/>
      <c r="AO621" s="1"/>
      <c r="AP621" s="1"/>
      <c r="AQ621" s="1"/>
      <c r="AR621" s="1"/>
      <c r="AS621" s="1"/>
      <c r="AT621" s="1"/>
      <c r="AU621" s="1"/>
      <c r="AV621" s="1"/>
      <c r="AW621" s="1"/>
      <c r="AX621" s="1"/>
      <c r="AY621" s="1"/>
    </row>
    <row r="622" spans="1:51" ht="16.95" customHeight="1">
      <c r="A622" s="199"/>
      <c r="B622" s="1322"/>
      <c r="C622" s="1322"/>
      <c r="D622" s="1322"/>
      <c r="E622" s="1322"/>
      <c r="F622" s="1322"/>
      <c r="G622" s="1322"/>
      <c r="H622" s="1322"/>
      <c r="I622" s="1322"/>
      <c r="J622" s="1322"/>
      <c r="K622" s="1322"/>
      <c r="L622" s="1322"/>
      <c r="M622" s="1322"/>
      <c r="N622" s="200"/>
      <c r="O622" s="199"/>
      <c r="P622" s="24"/>
      <c r="Q622" s="24"/>
      <c r="R622" s="398"/>
      <c r="S622" s="398"/>
      <c r="T622" s="398"/>
      <c r="U622" s="398"/>
      <c r="V622" s="398"/>
      <c r="W622" s="398"/>
      <c r="X622" s="398"/>
      <c r="Y622" s="398"/>
      <c r="Z622" s="398"/>
      <c r="AA622" s="398"/>
      <c r="AB622" s="200"/>
      <c r="AC622" s="1"/>
      <c r="AD622" s="1"/>
      <c r="AE622" s="1"/>
      <c r="AF622" s="1"/>
      <c r="AG622" s="1"/>
      <c r="AH622" s="1"/>
      <c r="AI622" s="1"/>
      <c r="AJ622" s="1"/>
      <c r="AK622" s="1"/>
      <c r="AL622" s="1"/>
      <c r="AM622" s="1"/>
      <c r="AN622" s="1"/>
      <c r="AO622" s="1"/>
      <c r="AP622" s="1"/>
      <c r="AQ622" s="1"/>
      <c r="AR622" s="1"/>
      <c r="AS622" s="1"/>
      <c r="AT622" s="1"/>
      <c r="AU622" s="1"/>
      <c r="AV622" s="1"/>
      <c r="AW622" s="1"/>
      <c r="AX622" s="1"/>
      <c r="AY622" s="1"/>
    </row>
    <row r="623" spans="1:51" ht="16.95" customHeight="1">
      <c r="A623" s="199"/>
      <c r="B623" s="1322"/>
      <c r="C623" s="1322"/>
      <c r="D623" s="1322"/>
      <c r="E623" s="1322"/>
      <c r="F623" s="1322"/>
      <c r="G623" s="1322"/>
      <c r="H623" s="1322"/>
      <c r="I623" s="1322"/>
      <c r="J623" s="1322"/>
      <c r="K623" s="1322"/>
      <c r="L623" s="1322"/>
      <c r="M623" s="1322"/>
      <c r="N623" s="200"/>
      <c r="O623" s="199"/>
      <c r="P623" s="24"/>
      <c r="Q623" s="24"/>
      <c r="R623" s="398"/>
      <c r="S623" s="398"/>
      <c r="T623" s="398"/>
      <c r="U623" s="398"/>
      <c r="V623" s="398"/>
      <c r="W623" s="398"/>
      <c r="X623" s="398"/>
      <c r="Y623" s="398"/>
      <c r="Z623" s="398"/>
      <c r="AA623" s="398"/>
      <c r="AB623" s="200"/>
      <c r="AC623" s="1"/>
      <c r="AD623" s="1"/>
      <c r="AE623" s="1"/>
      <c r="AF623" s="1"/>
      <c r="AG623" s="1"/>
      <c r="AH623" s="1"/>
      <c r="AI623" s="1"/>
      <c r="AJ623" s="1"/>
      <c r="AK623" s="1"/>
      <c r="AL623" s="1"/>
      <c r="AM623" s="1"/>
      <c r="AN623" s="1"/>
      <c r="AO623" s="1"/>
      <c r="AP623" s="1"/>
      <c r="AQ623" s="1"/>
      <c r="AR623" s="1"/>
      <c r="AS623" s="1"/>
      <c r="AT623" s="1"/>
      <c r="AU623" s="1"/>
      <c r="AV623" s="1"/>
      <c r="AW623" s="1"/>
      <c r="AX623" s="1"/>
      <c r="AY623" s="1"/>
    </row>
    <row r="624" spans="1:51" ht="4.95" customHeight="1">
      <c r="A624" s="199"/>
      <c r="B624" s="24"/>
      <c r="C624" s="24"/>
      <c r="D624" s="24"/>
      <c r="E624" s="24"/>
      <c r="F624" s="24"/>
      <c r="G624" s="24"/>
      <c r="H624" s="24"/>
      <c r="I624" s="24"/>
      <c r="J624" s="24"/>
      <c r="K624" s="24"/>
      <c r="L624" s="24"/>
      <c r="M624" s="24"/>
      <c r="N624" s="200"/>
      <c r="O624" s="199"/>
      <c r="P624" s="24"/>
      <c r="Q624" s="24"/>
      <c r="R624" s="398"/>
      <c r="S624" s="398"/>
      <c r="T624" s="398"/>
      <c r="U624" s="398"/>
      <c r="V624" s="398"/>
      <c r="W624" s="398"/>
      <c r="X624" s="398"/>
      <c r="Y624" s="398"/>
      <c r="Z624" s="398"/>
      <c r="AA624" s="398"/>
      <c r="AB624" s="200"/>
      <c r="AC624" s="1"/>
      <c r="AD624" s="1"/>
      <c r="AE624" s="1"/>
      <c r="AF624" s="1"/>
      <c r="AG624" s="1"/>
      <c r="AH624" s="1"/>
      <c r="AI624" s="1"/>
      <c r="AJ624" s="1"/>
      <c r="AK624" s="1"/>
      <c r="AL624" s="1"/>
      <c r="AM624" s="1"/>
      <c r="AN624" s="1"/>
      <c r="AO624" s="1"/>
      <c r="AP624" s="1"/>
      <c r="AQ624" s="1"/>
      <c r="AR624" s="1"/>
      <c r="AS624" s="1"/>
      <c r="AT624" s="1"/>
      <c r="AU624" s="1"/>
      <c r="AV624" s="1"/>
      <c r="AW624" s="1"/>
      <c r="AX624" s="1"/>
      <c r="AY624" s="1"/>
    </row>
    <row r="625" spans="1:51" ht="33" customHeight="1">
      <c r="A625" s="199"/>
      <c r="B625" s="1312" t="s">
        <v>1771</v>
      </c>
      <c r="C625" s="1312"/>
      <c r="D625" s="1312"/>
      <c r="E625" s="1312"/>
      <c r="F625" s="1312"/>
      <c r="G625" s="1312"/>
      <c r="H625" s="24"/>
      <c r="I625" s="24"/>
      <c r="J625" s="24"/>
      <c r="K625" s="24"/>
      <c r="L625" s="24"/>
      <c r="M625" s="24"/>
      <c r="N625" s="200"/>
      <c r="O625" s="199"/>
      <c r="P625" s="24"/>
      <c r="Q625" s="24"/>
      <c r="R625" s="398"/>
      <c r="S625" s="398"/>
      <c r="T625" s="398"/>
      <c r="U625" s="398"/>
      <c r="V625" s="398"/>
      <c r="W625" s="398"/>
      <c r="X625" s="398"/>
      <c r="Y625" s="398"/>
      <c r="Z625" s="398"/>
      <c r="AA625" s="398"/>
      <c r="AB625" s="200"/>
      <c r="AC625" s="1"/>
      <c r="AD625" s="1"/>
      <c r="AE625" s="1"/>
      <c r="AF625" s="1"/>
      <c r="AG625" s="1"/>
      <c r="AH625" s="1"/>
      <c r="AI625" s="1"/>
      <c r="AJ625" s="1"/>
      <c r="AK625" s="1"/>
      <c r="AL625" s="1"/>
      <c r="AM625" s="1"/>
      <c r="AN625" s="1"/>
      <c r="AO625" s="1"/>
      <c r="AP625" s="1"/>
      <c r="AQ625" s="1"/>
      <c r="AR625" s="1"/>
      <c r="AS625" s="1"/>
      <c r="AT625" s="1"/>
      <c r="AU625" s="1"/>
      <c r="AV625" s="1"/>
      <c r="AW625" s="1"/>
      <c r="AX625" s="1"/>
      <c r="AY625" s="1"/>
    </row>
    <row r="626" spans="1:51" ht="19.95" customHeight="1">
      <c r="A626" s="199"/>
      <c r="B626" s="1322" t="s">
        <v>2023</v>
      </c>
      <c r="C626" s="1322"/>
      <c r="D626" s="1322"/>
      <c r="E626" s="1322"/>
      <c r="F626" s="1322"/>
      <c r="G626" s="1322"/>
      <c r="H626" s="505"/>
      <c r="I626" s="24"/>
      <c r="J626" s="24"/>
      <c r="K626" s="24"/>
      <c r="L626" s="24"/>
      <c r="M626" s="24"/>
      <c r="N626" s="200"/>
      <c r="O626" s="199"/>
      <c r="P626" s="24"/>
      <c r="Q626" s="24"/>
      <c r="R626" s="398"/>
      <c r="S626" s="398"/>
      <c r="T626" s="398"/>
      <c r="U626" s="398"/>
      <c r="V626" s="398"/>
      <c r="W626" s="398"/>
      <c r="X626" s="398"/>
      <c r="Y626" s="398"/>
      <c r="Z626" s="398"/>
      <c r="AA626" s="398"/>
      <c r="AB626" s="200"/>
      <c r="AC626" s="1"/>
      <c r="AD626" s="1"/>
      <c r="AE626" s="1"/>
      <c r="AF626" s="1"/>
      <c r="AG626" s="1"/>
      <c r="AH626" s="1"/>
      <c r="AI626" s="1"/>
      <c r="AJ626" s="1"/>
      <c r="AK626" s="1"/>
      <c r="AL626" s="1"/>
      <c r="AM626" s="1"/>
      <c r="AN626" s="1"/>
      <c r="AO626" s="1"/>
      <c r="AP626" s="1"/>
      <c r="AQ626" s="1"/>
      <c r="AR626" s="1"/>
      <c r="AS626" s="1"/>
      <c r="AT626" s="1"/>
      <c r="AU626" s="1"/>
      <c r="AV626" s="1"/>
      <c r="AW626" s="1"/>
      <c r="AX626" s="1"/>
      <c r="AY626" s="1"/>
    </row>
    <row r="627" spans="1:51" ht="19.95" customHeight="1">
      <c r="A627" s="199"/>
      <c r="B627" s="1322"/>
      <c r="C627" s="1322"/>
      <c r="D627" s="1322"/>
      <c r="E627" s="1322"/>
      <c r="F627" s="1322"/>
      <c r="G627" s="1322"/>
      <c r="H627" s="505"/>
      <c r="I627" s="24"/>
      <c r="J627" s="24"/>
      <c r="K627" s="24"/>
      <c r="L627" s="24"/>
      <c r="M627" s="24"/>
      <c r="N627" s="200"/>
      <c r="O627" s="199"/>
      <c r="P627" s="24"/>
      <c r="Q627" s="24"/>
      <c r="R627" s="398"/>
      <c r="S627" s="398"/>
      <c r="T627" s="398"/>
      <c r="U627" s="398"/>
      <c r="V627" s="398"/>
      <c r="W627" s="398"/>
      <c r="X627" s="398"/>
      <c r="Y627" s="398"/>
      <c r="Z627" s="398"/>
      <c r="AA627" s="398"/>
      <c r="AB627" s="200"/>
      <c r="AC627" s="1"/>
      <c r="AD627" s="1"/>
      <c r="AE627" s="1"/>
      <c r="AF627" s="1"/>
      <c r="AG627" s="1"/>
      <c r="AH627" s="1"/>
      <c r="AI627" s="1"/>
      <c r="AJ627" s="1"/>
      <c r="AK627" s="1"/>
      <c r="AL627" s="1"/>
      <c r="AM627" s="1"/>
      <c r="AN627" s="1"/>
      <c r="AO627" s="1"/>
      <c r="AP627" s="1"/>
      <c r="AQ627" s="1"/>
      <c r="AR627" s="1"/>
      <c r="AS627" s="1"/>
      <c r="AT627" s="1"/>
      <c r="AU627" s="1"/>
      <c r="AV627" s="1"/>
      <c r="AW627" s="1"/>
      <c r="AX627" s="1"/>
      <c r="AY627" s="1"/>
    </row>
    <row r="628" spans="1:51" ht="19.95" customHeight="1">
      <c r="A628" s="199"/>
      <c r="B628" s="1322"/>
      <c r="C628" s="1322"/>
      <c r="D628" s="1322"/>
      <c r="E628" s="1322"/>
      <c r="F628" s="1322"/>
      <c r="G628" s="1322"/>
      <c r="H628" s="505"/>
      <c r="I628" s="24"/>
      <c r="J628" s="24"/>
      <c r="K628" s="24"/>
      <c r="L628" s="24"/>
      <c r="M628" s="24"/>
      <c r="N628" s="200"/>
      <c r="O628" s="199"/>
      <c r="P628" s="24"/>
      <c r="Q628" s="24"/>
      <c r="R628" s="398"/>
      <c r="S628" s="398"/>
      <c r="T628" s="398"/>
      <c r="U628" s="398"/>
      <c r="V628" s="398"/>
      <c r="W628" s="398"/>
      <c r="X628" s="398"/>
      <c r="Y628" s="398"/>
      <c r="Z628" s="398"/>
      <c r="AA628" s="398"/>
      <c r="AB628" s="200"/>
      <c r="AC628" s="1"/>
      <c r="AD628" s="1"/>
      <c r="AE628" s="1"/>
      <c r="AF628" s="1"/>
      <c r="AG628" s="1"/>
      <c r="AH628" s="1"/>
      <c r="AI628" s="1"/>
      <c r="AJ628" s="1"/>
      <c r="AK628" s="1"/>
      <c r="AL628" s="1"/>
      <c r="AM628" s="1"/>
      <c r="AN628" s="1"/>
      <c r="AO628" s="1"/>
      <c r="AP628" s="1"/>
      <c r="AQ628" s="1"/>
      <c r="AR628" s="1"/>
      <c r="AS628" s="1"/>
      <c r="AT628" s="1"/>
      <c r="AU628" s="1"/>
      <c r="AV628" s="1"/>
      <c r="AW628" s="1"/>
      <c r="AX628" s="1"/>
      <c r="AY628" s="1"/>
    </row>
    <row r="629" spans="1:51" ht="19.95" customHeight="1">
      <c r="A629" s="199"/>
      <c r="B629" s="1322"/>
      <c r="C629" s="1322"/>
      <c r="D629" s="1322"/>
      <c r="E629" s="1322"/>
      <c r="F629" s="1322"/>
      <c r="G629" s="1322"/>
      <c r="H629" s="505"/>
      <c r="I629" s="24"/>
      <c r="J629" s="24"/>
      <c r="K629" s="24"/>
      <c r="L629" s="24"/>
      <c r="M629" s="24"/>
      <c r="N629" s="200"/>
      <c r="O629" s="199"/>
      <c r="P629" s="24"/>
      <c r="Q629" s="24"/>
      <c r="R629" s="398"/>
      <c r="S629" s="398"/>
      <c r="T629" s="398"/>
      <c r="U629" s="398"/>
      <c r="V629" s="398"/>
      <c r="W629" s="398"/>
      <c r="X629" s="398"/>
      <c r="Y629" s="398"/>
      <c r="Z629" s="398"/>
      <c r="AA629" s="398"/>
      <c r="AB629" s="200"/>
      <c r="AC629" s="1"/>
      <c r="AD629" s="1"/>
      <c r="AE629" s="1"/>
      <c r="AF629" s="1"/>
      <c r="AG629" s="1"/>
      <c r="AH629" s="1"/>
      <c r="AI629" s="1"/>
      <c r="AJ629" s="1"/>
      <c r="AK629" s="1"/>
      <c r="AL629" s="1"/>
      <c r="AM629" s="1"/>
      <c r="AN629" s="1"/>
      <c r="AO629" s="1"/>
      <c r="AP629" s="1"/>
      <c r="AQ629" s="1"/>
      <c r="AR629" s="1"/>
      <c r="AS629" s="1"/>
      <c r="AT629" s="1"/>
      <c r="AU629" s="1"/>
      <c r="AV629" s="1"/>
      <c r="AW629" s="1"/>
      <c r="AX629" s="1"/>
      <c r="AY629" s="1"/>
    </row>
    <row r="630" spans="1:51" ht="19.95" customHeight="1">
      <c r="A630" s="199"/>
      <c r="B630" s="1322"/>
      <c r="C630" s="1322"/>
      <c r="D630" s="1322"/>
      <c r="E630" s="1322"/>
      <c r="F630" s="1322"/>
      <c r="G630" s="1322"/>
      <c r="H630" s="505"/>
      <c r="I630" s="24"/>
      <c r="J630" s="24"/>
      <c r="K630" s="24"/>
      <c r="L630" s="24"/>
      <c r="M630" s="24"/>
      <c r="N630" s="200"/>
      <c r="O630" s="199"/>
      <c r="P630" s="24"/>
      <c r="Q630" s="24"/>
      <c r="R630" s="398"/>
      <c r="S630" s="398"/>
      <c r="T630" s="398"/>
      <c r="U630" s="398"/>
      <c r="V630" s="398"/>
      <c r="W630" s="398"/>
      <c r="X630" s="398"/>
      <c r="Y630" s="398"/>
      <c r="Z630" s="398"/>
      <c r="AA630" s="398"/>
      <c r="AB630" s="200"/>
      <c r="AC630" s="1"/>
      <c r="AD630" s="1"/>
      <c r="AE630" s="1"/>
      <c r="AF630" s="1"/>
      <c r="AG630" s="1"/>
      <c r="AH630" s="1"/>
      <c r="AI630" s="1"/>
      <c r="AJ630" s="1"/>
      <c r="AK630" s="1"/>
      <c r="AL630" s="1"/>
      <c r="AM630" s="1"/>
      <c r="AN630" s="1"/>
      <c r="AO630" s="1"/>
      <c r="AP630" s="1"/>
      <c r="AQ630" s="1"/>
      <c r="AR630" s="1"/>
      <c r="AS630" s="1"/>
      <c r="AT630" s="1"/>
      <c r="AU630" s="1"/>
      <c r="AV630" s="1"/>
      <c r="AW630" s="1"/>
      <c r="AX630" s="1"/>
      <c r="AY630" s="1"/>
    </row>
    <row r="631" spans="1:51" ht="19.95" customHeight="1">
      <c r="A631" s="199"/>
      <c r="B631" s="1322"/>
      <c r="C631" s="1322"/>
      <c r="D631" s="1322"/>
      <c r="E631" s="1322"/>
      <c r="F631" s="1322"/>
      <c r="G631" s="1322"/>
      <c r="H631" s="505"/>
      <c r="I631" s="24"/>
      <c r="J631" s="24"/>
      <c r="K631" s="24"/>
      <c r="L631" s="24"/>
      <c r="M631" s="24"/>
      <c r="N631" s="200"/>
      <c r="O631" s="199"/>
      <c r="P631" s="24"/>
      <c r="Q631" s="24"/>
      <c r="R631" s="398"/>
      <c r="S631" s="398"/>
      <c r="T631" s="398"/>
      <c r="U631" s="398"/>
      <c r="V631" s="398"/>
      <c r="W631" s="398"/>
      <c r="X631" s="398"/>
      <c r="Y631" s="398"/>
      <c r="Z631" s="398"/>
      <c r="AA631" s="398"/>
      <c r="AB631" s="200"/>
      <c r="AC631" s="1"/>
      <c r="AD631" s="1"/>
      <c r="AE631" s="1"/>
      <c r="AF631" s="1"/>
      <c r="AG631" s="1"/>
      <c r="AH631" s="1"/>
      <c r="AI631" s="1"/>
      <c r="AJ631" s="1"/>
      <c r="AK631" s="1"/>
      <c r="AL631" s="1"/>
      <c r="AM631" s="1"/>
      <c r="AN631" s="1"/>
      <c r="AO631" s="1"/>
      <c r="AP631" s="1"/>
      <c r="AQ631" s="1"/>
      <c r="AR631" s="1"/>
      <c r="AS631" s="1"/>
      <c r="AT631" s="1"/>
      <c r="AU631" s="1"/>
      <c r="AV631" s="1"/>
      <c r="AW631" s="1"/>
      <c r="AX631" s="1"/>
      <c r="AY631" s="1"/>
    </row>
    <row r="632" spans="1:51" ht="19.95" customHeight="1">
      <c r="A632" s="199"/>
      <c r="B632" s="1322"/>
      <c r="C632" s="1322"/>
      <c r="D632" s="1322"/>
      <c r="E632" s="1322"/>
      <c r="F632" s="1322"/>
      <c r="G632" s="1322"/>
      <c r="H632" s="505"/>
      <c r="I632" s="24"/>
      <c r="J632" s="24"/>
      <c r="K632" s="24"/>
      <c r="L632" s="24"/>
      <c r="M632" s="24"/>
      <c r="N632" s="200"/>
      <c r="O632" s="199"/>
      <c r="P632" s="24"/>
      <c r="Q632" s="24"/>
      <c r="R632" s="398"/>
      <c r="S632" s="398"/>
      <c r="T632" s="398"/>
      <c r="U632" s="398"/>
      <c r="V632" s="398"/>
      <c r="W632" s="398"/>
      <c r="X632" s="398"/>
      <c r="Y632" s="398"/>
      <c r="Z632" s="398"/>
      <c r="AA632" s="398"/>
      <c r="AB632" s="200"/>
      <c r="AC632" s="1"/>
      <c r="AD632" s="1"/>
      <c r="AE632" s="1"/>
      <c r="AF632" s="1"/>
      <c r="AG632" s="1"/>
      <c r="AH632" s="1"/>
      <c r="AI632" s="1"/>
      <c r="AJ632" s="1"/>
      <c r="AK632" s="1"/>
      <c r="AL632" s="1"/>
      <c r="AM632" s="1"/>
      <c r="AN632" s="1"/>
      <c r="AO632" s="1"/>
      <c r="AP632" s="1"/>
      <c r="AQ632" s="1"/>
      <c r="AR632" s="1"/>
      <c r="AS632" s="1"/>
      <c r="AT632" s="1"/>
      <c r="AU632" s="1"/>
      <c r="AV632" s="1"/>
      <c r="AW632" s="1"/>
      <c r="AX632" s="1"/>
      <c r="AY632" s="1"/>
    </row>
    <row r="633" spans="1:51" ht="19.95" customHeight="1">
      <c r="A633" s="199"/>
      <c r="B633" s="1322"/>
      <c r="C633" s="1322"/>
      <c r="D633" s="1322"/>
      <c r="E633" s="1322"/>
      <c r="F633" s="1322"/>
      <c r="G633" s="1322"/>
      <c r="H633" s="505"/>
      <c r="I633" s="24"/>
      <c r="J633" s="24"/>
      <c r="K633" s="24"/>
      <c r="L633" s="24"/>
      <c r="M633" s="24"/>
      <c r="N633" s="200"/>
      <c r="O633" s="199"/>
      <c r="P633" s="24"/>
      <c r="Q633" s="24"/>
      <c r="R633" s="398"/>
      <c r="S633" s="398"/>
      <c r="T633" s="398"/>
      <c r="U633" s="398"/>
      <c r="V633" s="398"/>
      <c r="W633" s="398"/>
      <c r="X633" s="398"/>
      <c r="Y633" s="398"/>
      <c r="Z633" s="398"/>
      <c r="AA633" s="398"/>
      <c r="AB633" s="200"/>
      <c r="AC633" s="1"/>
      <c r="AD633" s="1"/>
      <c r="AE633" s="1"/>
      <c r="AF633" s="1"/>
      <c r="AG633" s="1"/>
      <c r="AH633" s="1"/>
      <c r="AI633" s="1"/>
      <c r="AJ633" s="1"/>
      <c r="AK633" s="1"/>
      <c r="AL633" s="1"/>
      <c r="AM633" s="1"/>
      <c r="AN633" s="1"/>
      <c r="AO633" s="1"/>
      <c r="AP633" s="1"/>
      <c r="AQ633" s="1"/>
      <c r="AR633" s="1"/>
      <c r="AS633" s="1"/>
      <c r="AT633" s="1"/>
      <c r="AU633" s="1"/>
      <c r="AV633" s="1"/>
      <c r="AW633" s="1"/>
      <c r="AX633" s="1"/>
      <c r="AY633" s="1"/>
    </row>
    <row r="634" spans="1:51" ht="19.95" customHeight="1">
      <c r="A634" s="199"/>
      <c r="B634" s="1322"/>
      <c r="C634" s="1322"/>
      <c r="D634" s="1322"/>
      <c r="E634" s="1322"/>
      <c r="F634" s="1322"/>
      <c r="G634" s="1322"/>
      <c r="H634" s="505"/>
      <c r="I634" s="24"/>
      <c r="J634" s="24"/>
      <c r="K634" s="24"/>
      <c r="L634" s="24"/>
      <c r="M634" s="24"/>
      <c r="N634" s="200"/>
      <c r="O634" s="199"/>
      <c r="P634" s="24"/>
      <c r="Q634" s="24"/>
      <c r="R634" s="398"/>
      <c r="S634" s="398"/>
      <c r="T634" s="398"/>
      <c r="U634" s="398"/>
      <c r="V634" s="398"/>
      <c r="W634" s="398"/>
      <c r="X634" s="398"/>
      <c r="Y634" s="398"/>
      <c r="Z634" s="398"/>
      <c r="AA634" s="398"/>
      <c r="AB634" s="200"/>
      <c r="AC634" s="1"/>
      <c r="AD634" s="1"/>
      <c r="AE634" s="1"/>
      <c r="AF634" s="1"/>
      <c r="AG634" s="1"/>
      <c r="AH634" s="1"/>
      <c r="AI634" s="1"/>
      <c r="AJ634" s="1"/>
      <c r="AK634" s="1"/>
      <c r="AL634" s="1"/>
      <c r="AM634" s="1"/>
      <c r="AN634" s="1"/>
      <c r="AO634" s="1"/>
      <c r="AP634" s="1"/>
      <c r="AQ634" s="1"/>
      <c r="AR634" s="1"/>
      <c r="AS634" s="1"/>
      <c r="AT634" s="1"/>
      <c r="AU634" s="1"/>
      <c r="AV634" s="1"/>
      <c r="AW634" s="1"/>
      <c r="AX634" s="1"/>
      <c r="AY634" s="1"/>
    </row>
    <row r="635" spans="1:51" ht="4.95" customHeight="1">
      <c r="A635" s="199"/>
      <c r="B635" s="24"/>
      <c r="C635" s="24"/>
      <c r="D635" s="24"/>
      <c r="E635" s="24"/>
      <c r="F635" s="24"/>
      <c r="G635" s="24"/>
      <c r="H635" s="24"/>
      <c r="I635" s="24"/>
      <c r="J635" s="24"/>
      <c r="K635" s="24"/>
      <c r="L635" s="24"/>
      <c r="M635" s="24"/>
      <c r="N635" s="200"/>
      <c r="O635" s="199"/>
      <c r="P635" s="24"/>
      <c r="Q635" s="24"/>
      <c r="R635" s="398"/>
      <c r="S635" s="398"/>
      <c r="T635" s="398"/>
      <c r="U635" s="398"/>
      <c r="V635" s="398"/>
      <c r="W635" s="398"/>
      <c r="X635" s="398"/>
      <c r="Y635" s="398"/>
      <c r="Z635" s="398"/>
      <c r="AA635" s="398"/>
      <c r="AB635" s="200"/>
      <c r="AC635" s="1"/>
      <c r="AD635" s="1"/>
      <c r="AE635" s="1"/>
      <c r="AF635" s="1"/>
      <c r="AG635" s="1"/>
      <c r="AH635" s="1"/>
      <c r="AI635" s="1"/>
      <c r="AJ635" s="1"/>
      <c r="AK635" s="1"/>
      <c r="AL635" s="1"/>
      <c r="AM635" s="1"/>
      <c r="AN635" s="1"/>
      <c r="AO635" s="1"/>
      <c r="AP635" s="1"/>
      <c r="AQ635" s="1"/>
      <c r="AR635" s="1"/>
      <c r="AS635" s="1"/>
      <c r="AT635" s="1"/>
      <c r="AU635" s="1"/>
      <c r="AV635" s="1"/>
      <c r="AW635" s="1"/>
      <c r="AX635" s="1"/>
      <c r="AY635" s="1"/>
    </row>
    <row r="636" spans="1:51" ht="22.05" customHeight="1">
      <c r="A636" s="199"/>
      <c r="B636" s="1322" t="s">
        <v>2028</v>
      </c>
      <c r="C636" s="1322"/>
      <c r="D636" s="1322"/>
      <c r="E636" s="1322"/>
      <c r="F636" s="1322"/>
      <c r="G636" s="1322"/>
      <c r="H636" s="1322"/>
      <c r="I636" s="1322"/>
      <c r="J636" s="1322"/>
      <c r="K636" s="1322"/>
      <c r="L636" s="1322"/>
      <c r="M636" s="1322"/>
      <c r="N636" s="200"/>
      <c r="O636" s="199"/>
      <c r="P636" s="24"/>
      <c r="Q636" s="24"/>
      <c r="R636" s="398"/>
      <c r="S636" s="398"/>
      <c r="T636" s="398"/>
      <c r="U636" s="398"/>
      <c r="V636" s="398"/>
      <c r="W636" s="398"/>
      <c r="X636" s="398"/>
      <c r="Y636" s="398"/>
      <c r="Z636" s="398"/>
      <c r="AA636" s="398"/>
      <c r="AB636" s="200"/>
      <c r="AC636" s="1"/>
      <c r="AD636" s="1"/>
      <c r="AE636" s="1"/>
      <c r="AF636" s="1"/>
      <c r="AG636" s="1"/>
      <c r="AH636" s="1"/>
      <c r="AI636" s="1"/>
      <c r="AJ636" s="1"/>
      <c r="AK636" s="1"/>
      <c r="AL636" s="1"/>
      <c r="AM636" s="1"/>
      <c r="AN636" s="1"/>
      <c r="AO636" s="1"/>
      <c r="AP636" s="1"/>
      <c r="AQ636" s="1"/>
      <c r="AR636" s="1"/>
      <c r="AS636" s="1"/>
      <c r="AT636" s="1"/>
      <c r="AU636" s="1"/>
      <c r="AV636" s="1"/>
      <c r="AW636" s="1"/>
      <c r="AX636" s="1"/>
      <c r="AY636" s="1"/>
    </row>
    <row r="637" spans="1:51" ht="22.05" customHeight="1">
      <c r="A637" s="199"/>
      <c r="B637" s="1322"/>
      <c r="C637" s="1322"/>
      <c r="D637" s="1322"/>
      <c r="E637" s="1322"/>
      <c r="F637" s="1322"/>
      <c r="G637" s="1322"/>
      <c r="H637" s="1322"/>
      <c r="I637" s="1322"/>
      <c r="J637" s="1322"/>
      <c r="K637" s="1322"/>
      <c r="L637" s="1322"/>
      <c r="M637" s="1322"/>
      <c r="N637" s="200"/>
      <c r="O637" s="199"/>
      <c r="P637" s="24"/>
      <c r="Q637" s="24"/>
      <c r="R637" s="398"/>
      <c r="S637" s="398"/>
      <c r="T637" s="398"/>
      <c r="U637" s="398"/>
      <c r="V637" s="398"/>
      <c r="W637" s="398"/>
      <c r="X637" s="398"/>
      <c r="Y637" s="398"/>
      <c r="Z637" s="398"/>
      <c r="AA637" s="398"/>
      <c r="AB637" s="200"/>
      <c r="AC637" s="1"/>
      <c r="AD637" s="1"/>
      <c r="AE637" s="1"/>
      <c r="AF637" s="1"/>
      <c r="AG637" s="1"/>
      <c r="AH637" s="1"/>
      <c r="AI637" s="1"/>
      <c r="AJ637" s="1"/>
      <c r="AK637" s="1"/>
      <c r="AL637" s="1"/>
      <c r="AM637" s="1"/>
      <c r="AN637" s="1"/>
      <c r="AO637" s="1"/>
      <c r="AP637" s="1"/>
      <c r="AQ637" s="1"/>
      <c r="AR637" s="1"/>
      <c r="AS637" s="1"/>
      <c r="AT637" s="1"/>
      <c r="AU637" s="1"/>
      <c r="AV637" s="1"/>
      <c r="AW637" s="1"/>
      <c r="AX637" s="1"/>
      <c r="AY637" s="1"/>
    </row>
    <row r="638" spans="1:51" ht="22.05" customHeight="1">
      <c r="A638" s="199"/>
      <c r="B638" s="1322"/>
      <c r="C638" s="1322"/>
      <c r="D638" s="1322"/>
      <c r="E638" s="1322"/>
      <c r="F638" s="1322"/>
      <c r="G638" s="1322"/>
      <c r="H638" s="1322"/>
      <c r="I638" s="1322"/>
      <c r="J638" s="1322"/>
      <c r="K638" s="1322"/>
      <c r="L638" s="1322"/>
      <c r="M638" s="1322"/>
      <c r="N638" s="200"/>
      <c r="O638" s="199"/>
      <c r="P638" s="24"/>
      <c r="Q638" s="24"/>
      <c r="R638" s="398"/>
      <c r="S638" s="398"/>
      <c r="T638" s="398"/>
      <c r="U638" s="398"/>
      <c r="V638" s="398"/>
      <c r="W638" s="398"/>
      <c r="X638" s="398"/>
      <c r="Y638" s="398"/>
      <c r="Z638" s="398"/>
      <c r="AA638" s="398"/>
      <c r="AB638" s="200"/>
      <c r="AC638" s="1"/>
      <c r="AD638" s="1"/>
      <c r="AE638" s="1"/>
      <c r="AF638" s="1"/>
      <c r="AG638" s="1"/>
      <c r="AH638" s="1"/>
      <c r="AI638" s="1"/>
      <c r="AJ638" s="1"/>
      <c r="AK638" s="1"/>
      <c r="AL638" s="1"/>
      <c r="AM638" s="1"/>
      <c r="AN638" s="1"/>
      <c r="AO638" s="1"/>
      <c r="AP638" s="1"/>
      <c r="AQ638" s="1"/>
      <c r="AR638" s="1"/>
      <c r="AS638" s="1"/>
      <c r="AT638" s="1"/>
      <c r="AU638" s="1"/>
      <c r="AV638" s="1"/>
      <c r="AW638" s="1"/>
      <c r="AX638" s="1"/>
      <c r="AY638" s="1"/>
    </row>
    <row r="639" spans="1:51" ht="22.05" customHeight="1">
      <c r="A639" s="199"/>
      <c r="B639" s="1322"/>
      <c r="C639" s="1322"/>
      <c r="D639" s="1322"/>
      <c r="E639" s="1322"/>
      <c r="F639" s="1322"/>
      <c r="G639" s="1322"/>
      <c r="H639" s="1322"/>
      <c r="I639" s="1322"/>
      <c r="J639" s="1322"/>
      <c r="K639" s="1322"/>
      <c r="L639" s="1322"/>
      <c r="M639" s="1322"/>
      <c r="N639" s="200"/>
      <c r="O639" s="199"/>
      <c r="P639" s="24"/>
      <c r="Q639" s="24"/>
      <c r="R639" s="398"/>
      <c r="S639" s="398"/>
      <c r="T639" s="398"/>
      <c r="U639" s="398"/>
      <c r="V639" s="398"/>
      <c r="W639" s="398"/>
      <c r="X639" s="398"/>
      <c r="Y639" s="398"/>
      <c r="Z639" s="398"/>
      <c r="AA639" s="398"/>
      <c r="AB639" s="200"/>
      <c r="AC639" s="1"/>
      <c r="AD639" s="1"/>
      <c r="AE639" s="1"/>
      <c r="AF639" s="1"/>
      <c r="AG639" s="1"/>
      <c r="AH639" s="1"/>
      <c r="AI639" s="1"/>
      <c r="AJ639" s="1"/>
      <c r="AK639" s="1"/>
      <c r="AL639" s="1"/>
      <c r="AM639" s="1"/>
      <c r="AN639" s="1"/>
      <c r="AO639" s="1"/>
      <c r="AP639" s="1"/>
      <c r="AQ639" s="1"/>
      <c r="AR639" s="1"/>
      <c r="AS639" s="1"/>
      <c r="AT639" s="1"/>
      <c r="AU639" s="1"/>
      <c r="AV639" s="1"/>
      <c r="AW639" s="1"/>
      <c r="AX639" s="1"/>
      <c r="AY639" s="1"/>
    </row>
    <row r="640" spans="1:51" ht="19.95" customHeight="1">
      <c r="A640" s="199"/>
      <c r="B640" s="1322"/>
      <c r="C640" s="1322"/>
      <c r="D640" s="1322"/>
      <c r="E640" s="1322"/>
      <c r="F640" s="1322"/>
      <c r="G640" s="1322"/>
      <c r="H640" s="1322"/>
      <c r="I640" s="1322"/>
      <c r="J640" s="1322"/>
      <c r="K640" s="1322"/>
      <c r="L640" s="1322"/>
      <c r="M640" s="1322"/>
      <c r="N640" s="200"/>
      <c r="O640" s="199"/>
      <c r="P640" s="24"/>
      <c r="Q640" s="24"/>
      <c r="R640" s="398"/>
      <c r="S640" s="398"/>
      <c r="T640" s="398"/>
      <c r="U640" s="398"/>
      <c r="V640" s="398"/>
      <c r="W640" s="398"/>
      <c r="X640" s="398"/>
      <c r="Y640" s="398"/>
      <c r="Z640" s="398"/>
      <c r="AA640" s="398"/>
      <c r="AB640" s="200"/>
      <c r="AC640" s="1"/>
      <c r="AD640" s="1"/>
      <c r="AE640" s="1"/>
      <c r="AF640" s="1"/>
      <c r="AG640" s="1"/>
      <c r="AH640" s="1"/>
      <c r="AI640" s="1"/>
      <c r="AJ640" s="1"/>
      <c r="AK640" s="1"/>
      <c r="AL640" s="1"/>
      <c r="AM640" s="1"/>
      <c r="AN640" s="1"/>
      <c r="AO640" s="1"/>
      <c r="AP640" s="1"/>
      <c r="AQ640" s="1"/>
      <c r="AR640" s="1"/>
      <c r="AS640" s="1"/>
      <c r="AT640" s="1"/>
      <c r="AU640" s="1"/>
      <c r="AV640" s="1"/>
      <c r="AW640" s="1"/>
      <c r="AX640" s="1"/>
      <c r="AY640" s="1"/>
    </row>
    <row r="641" spans="1:51" ht="30" customHeight="1">
      <c r="A641" s="210" t="s">
        <v>1148</v>
      </c>
      <c r="B641" s="396" t="s">
        <v>2019</v>
      </c>
      <c r="C641" s="582"/>
      <c r="D641" s="582"/>
      <c r="E641" s="583"/>
      <c r="F641" s="584"/>
      <c r="G641" s="582"/>
      <c r="H641" s="582"/>
      <c r="I641" s="582"/>
      <c r="J641" s="373"/>
      <c r="K641" s="373"/>
      <c r="L641" s="373"/>
      <c r="M641" s="373"/>
      <c r="N641" s="211" t="s">
        <v>1149</v>
      </c>
      <c r="O641" s="372"/>
      <c r="P641" s="374"/>
      <c r="Q641" s="373"/>
      <c r="R641" s="373"/>
      <c r="S641" s="373"/>
      <c r="T641" s="373"/>
      <c r="U641" s="373"/>
      <c r="V641" s="373"/>
      <c r="W641" s="373"/>
      <c r="X641" s="373"/>
      <c r="Y641" s="373"/>
      <c r="Z641" s="373"/>
      <c r="AA641" s="373"/>
      <c r="AB641" s="211" t="s">
        <v>1149</v>
      </c>
      <c r="AC641" s="577"/>
      <c r="AD641" s="1"/>
      <c r="AE641" s="577"/>
      <c r="AF641" s="577"/>
      <c r="AG641" s="577"/>
      <c r="AH641" s="577"/>
      <c r="AI641" s="577"/>
      <c r="AJ641" s="577"/>
      <c r="AK641" s="577"/>
      <c r="AL641" s="577"/>
      <c r="AM641" s="577"/>
      <c r="AN641" s="577"/>
      <c r="AO641" s="577"/>
      <c r="AP641" s="577"/>
      <c r="AQ641" s="577"/>
      <c r="AR641" s="577"/>
      <c r="AS641" s="577"/>
      <c r="AT641" s="577"/>
      <c r="AU641" s="577"/>
      <c r="AV641" s="577"/>
      <c r="AW641" s="577"/>
      <c r="AX641" s="577"/>
      <c r="AY641" s="577"/>
    </row>
    <row r="642" spans="1:51" ht="15" customHeight="1">
      <c r="A642" s="199"/>
      <c r="B642" s="24"/>
      <c r="C642" s="24"/>
      <c r="D642" s="24"/>
      <c r="E642" s="24"/>
      <c r="F642" s="24"/>
      <c r="G642" s="24"/>
      <c r="H642" s="24"/>
      <c r="I642" s="24"/>
      <c r="J642" s="24"/>
      <c r="K642" s="24"/>
      <c r="L642" s="24"/>
      <c r="M642" s="24"/>
      <c r="N642" s="200"/>
      <c r="O642" s="199"/>
      <c r="P642" s="24"/>
      <c r="Q642" s="24"/>
      <c r="R642" s="398"/>
      <c r="S642" s="398"/>
      <c r="T642" s="398"/>
      <c r="U642" s="398"/>
      <c r="V642" s="398"/>
      <c r="W642" s="398"/>
      <c r="X642" s="398"/>
      <c r="Y642" s="398"/>
      <c r="Z642" s="398"/>
      <c r="AA642" s="398"/>
      <c r="AB642" s="200"/>
      <c r="AC642" s="1"/>
      <c r="AD642" s="1"/>
      <c r="AE642" s="1"/>
      <c r="AF642" s="1"/>
      <c r="AG642" s="1"/>
      <c r="AH642" s="1"/>
      <c r="AI642" s="1"/>
      <c r="AJ642" s="1"/>
      <c r="AK642" s="1"/>
      <c r="AL642" s="1"/>
      <c r="AM642" s="1"/>
      <c r="AN642" s="1"/>
      <c r="AO642" s="1"/>
      <c r="AP642" s="1"/>
      <c r="AQ642" s="1"/>
      <c r="AR642" s="1"/>
      <c r="AS642" s="1"/>
      <c r="AT642" s="1"/>
      <c r="AU642" s="1"/>
      <c r="AV642" s="1"/>
      <c r="AW642" s="1"/>
      <c r="AX642" s="1"/>
      <c r="AY642" s="1"/>
    </row>
    <row r="643" spans="1:51" ht="19.95" customHeight="1">
      <c r="A643" s="199"/>
      <c r="B643" s="481" t="s">
        <v>1774</v>
      </c>
      <c r="C643" s="481"/>
      <c r="D643" s="481"/>
      <c r="E643" s="481"/>
      <c r="F643" s="481"/>
      <c r="G643" s="481"/>
      <c r="H643" s="481"/>
      <c r="I643" s="481"/>
      <c r="J643" s="481"/>
      <c r="K643" s="481"/>
      <c r="L643" s="481"/>
      <c r="M643" s="481"/>
      <c r="N643" s="200"/>
      <c r="O643" s="199"/>
      <c r="P643" s="24"/>
      <c r="Q643" s="24"/>
      <c r="R643" s="398"/>
      <c r="S643" s="398"/>
      <c r="T643" s="398"/>
      <c r="U643" s="398"/>
      <c r="V643" s="398"/>
      <c r="W643" s="398"/>
      <c r="X643" s="398"/>
      <c r="Y643" s="398"/>
      <c r="Z643" s="398"/>
      <c r="AA643" s="398"/>
      <c r="AB643" s="200"/>
      <c r="AC643" s="1"/>
      <c r="AD643" s="1"/>
      <c r="AE643" s="1"/>
      <c r="AF643" s="1"/>
      <c r="AG643" s="1"/>
      <c r="AH643" s="1"/>
      <c r="AI643" s="1"/>
      <c r="AJ643" s="1"/>
      <c r="AK643" s="1"/>
      <c r="AL643" s="1"/>
      <c r="AM643" s="1"/>
      <c r="AN643" s="1"/>
      <c r="AO643" s="1"/>
      <c r="AP643" s="1"/>
      <c r="AQ643" s="1"/>
      <c r="AR643" s="1"/>
      <c r="AS643" s="1"/>
      <c r="AT643" s="1"/>
      <c r="AU643" s="1"/>
      <c r="AV643" s="1"/>
      <c r="AW643" s="1"/>
      <c r="AX643" s="1"/>
      <c r="AY643" s="1"/>
    </row>
    <row r="644" spans="1:51" ht="4.95" customHeight="1">
      <c r="A644" s="199"/>
      <c r="B644" s="24"/>
      <c r="C644" s="24"/>
      <c r="D644" s="24"/>
      <c r="E644" s="24"/>
      <c r="F644" s="24"/>
      <c r="G644" s="24"/>
      <c r="H644" s="24"/>
      <c r="I644" s="24"/>
      <c r="J644" s="24"/>
      <c r="K644" s="24"/>
      <c r="L644" s="24"/>
      <c r="M644" s="24"/>
      <c r="N644" s="200"/>
      <c r="O644" s="199"/>
      <c r="P644" s="24"/>
      <c r="Q644" s="24"/>
      <c r="R644" s="398"/>
      <c r="S644" s="398"/>
      <c r="T644" s="398"/>
      <c r="U644" s="398"/>
      <c r="V644" s="398"/>
      <c r="W644" s="398"/>
      <c r="X644" s="398"/>
      <c r="Y644" s="398"/>
      <c r="Z644" s="398"/>
      <c r="AA644" s="398"/>
      <c r="AB644" s="200"/>
      <c r="AC644" s="1"/>
      <c r="AD644" s="1"/>
      <c r="AE644" s="1"/>
      <c r="AF644" s="1"/>
      <c r="AG644" s="1"/>
      <c r="AH644" s="1"/>
      <c r="AI644" s="1"/>
      <c r="AJ644" s="1"/>
      <c r="AK644" s="1"/>
      <c r="AL644" s="1"/>
      <c r="AM644" s="1"/>
      <c r="AN644" s="1"/>
      <c r="AO644" s="1"/>
      <c r="AP644" s="1"/>
      <c r="AQ644" s="1"/>
      <c r="AR644" s="1"/>
      <c r="AS644" s="1"/>
      <c r="AT644" s="1"/>
      <c r="AU644" s="1"/>
      <c r="AV644" s="1"/>
      <c r="AW644" s="1"/>
      <c r="AX644" s="1"/>
      <c r="AY644" s="1"/>
    </row>
    <row r="645" spans="1:51" ht="34.950000000000003" customHeight="1">
      <c r="A645" s="199"/>
      <c r="B645" s="500" t="s">
        <v>1773</v>
      </c>
      <c r="C645" s="24"/>
      <c r="D645" s="24"/>
      <c r="E645" s="24"/>
      <c r="F645" s="24"/>
      <c r="G645" s="24"/>
      <c r="H645" s="24"/>
      <c r="I645" s="24"/>
      <c r="J645" s="24"/>
      <c r="K645" s="24"/>
      <c r="L645" s="24"/>
      <c r="M645" s="24"/>
      <c r="N645" s="200"/>
      <c r="O645" s="199"/>
      <c r="P645" s="24"/>
      <c r="Q645" s="24"/>
      <c r="R645" s="398"/>
      <c r="S645" s="398"/>
      <c r="T645" s="398"/>
      <c r="U645" s="398"/>
      <c r="V645" s="398"/>
      <c r="W645" s="398"/>
      <c r="X645" s="398"/>
      <c r="Y645" s="398"/>
      <c r="Z645" s="398"/>
      <c r="AA645" s="398"/>
      <c r="AB645" s="200"/>
      <c r="AC645" s="1"/>
      <c r="AD645" s="1"/>
      <c r="AE645" s="1"/>
      <c r="AF645" s="1"/>
      <c r="AG645" s="1"/>
      <c r="AH645" s="1"/>
      <c r="AI645" s="1"/>
      <c r="AJ645" s="1"/>
      <c r="AK645" s="1"/>
      <c r="AL645" s="1"/>
      <c r="AM645" s="1"/>
      <c r="AN645" s="1"/>
      <c r="AO645" s="1"/>
      <c r="AP645" s="1"/>
      <c r="AQ645" s="1"/>
      <c r="AR645" s="1"/>
      <c r="AS645" s="1"/>
      <c r="AT645" s="1"/>
      <c r="AU645" s="1"/>
      <c r="AV645" s="1"/>
      <c r="AW645" s="1"/>
      <c r="AX645" s="1"/>
      <c r="AY645" s="1"/>
    </row>
    <row r="646" spans="1:51" ht="22.95" customHeight="1">
      <c r="A646" s="199"/>
      <c r="B646" s="1277" t="s">
        <v>2029</v>
      </c>
      <c r="C646" s="1277"/>
      <c r="D646" s="1277"/>
      <c r="E646" s="1277"/>
      <c r="F646" s="1277"/>
      <c r="G646" s="1277"/>
      <c r="H646" s="1277"/>
      <c r="I646" s="1277"/>
      <c r="J646" s="1277"/>
      <c r="K646" s="1277"/>
      <c r="L646" s="1277"/>
      <c r="M646" s="1277"/>
      <c r="N646" s="200"/>
      <c r="O646" s="199"/>
      <c r="P646" s="24"/>
      <c r="Q646" s="24"/>
      <c r="R646" s="398"/>
      <c r="S646" s="398"/>
      <c r="T646" s="398"/>
      <c r="U646" s="398"/>
      <c r="V646" s="398"/>
      <c r="W646" s="398"/>
      <c r="X646" s="398"/>
      <c r="Y646" s="398"/>
      <c r="Z646" s="398"/>
      <c r="AA646" s="398"/>
      <c r="AB646" s="200"/>
      <c r="AC646" s="1"/>
      <c r="AD646" s="1"/>
      <c r="AE646" s="1"/>
      <c r="AF646" s="1"/>
      <c r="AG646" s="1"/>
      <c r="AH646" s="1"/>
      <c r="AI646" s="1"/>
      <c r="AJ646" s="1"/>
      <c r="AK646" s="1"/>
      <c r="AL646" s="1"/>
      <c r="AM646" s="1"/>
      <c r="AN646" s="1"/>
      <c r="AO646" s="1"/>
      <c r="AP646" s="1"/>
      <c r="AQ646" s="1"/>
      <c r="AR646" s="1"/>
      <c r="AS646" s="1"/>
      <c r="AT646" s="1"/>
      <c r="AU646" s="1"/>
      <c r="AV646" s="1"/>
      <c r="AW646" s="1"/>
      <c r="AX646" s="1"/>
      <c r="AY646" s="1"/>
    </row>
    <row r="647" spans="1:51" ht="22.95" customHeight="1">
      <c r="A647" s="199"/>
      <c r="B647" s="1277"/>
      <c r="C647" s="1277"/>
      <c r="D647" s="1277"/>
      <c r="E647" s="1277"/>
      <c r="F647" s="1277"/>
      <c r="G647" s="1277"/>
      <c r="H647" s="1277"/>
      <c r="I647" s="1277"/>
      <c r="J647" s="1277"/>
      <c r="K647" s="1277"/>
      <c r="L647" s="1277"/>
      <c r="M647" s="1277"/>
      <c r="N647" s="200"/>
      <c r="O647" s="199"/>
      <c r="P647" s="24"/>
      <c r="Q647" s="24"/>
      <c r="R647" s="398"/>
      <c r="S647" s="398"/>
      <c r="T647" s="398"/>
      <c r="U647" s="398"/>
      <c r="V647" s="398"/>
      <c r="W647" s="398"/>
      <c r="X647" s="398"/>
      <c r="Y647" s="398"/>
      <c r="Z647" s="398"/>
      <c r="AA647" s="398"/>
      <c r="AB647" s="200"/>
      <c r="AC647" s="1"/>
      <c r="AD647" s="1"/>
      <c r="AE647" s="1"/>
      <c r="AF647" s="1"/>
      <c r="AG647" s="1"/>
      <c r="AH647" s="1"/>
      <c r="AI647" s="1"/>
      <c r="AJ647" s="1"/>
      <c r="AK647" s="1"/>
      <c r="AL647" s="1"/>
      <c r="AM647" s="1"/>
      <c r="AN647" s="1"/>
      <c r="AO647" s="1"/>
      <c r="AP647" s="1"/>
      <c r="AQ647" s="1"/>
      <c r="AR647" s="1"/>
      <c r="AS647" s="1"/>
      <c r="AT647" s="1"/>
      <c r="AU647" s="1"/>
      <c r="AV647" s="1"/>
      <c r="AW647" s="1"/>
      <c r="AX647" s="1"/>
      <c r="AY647" s="1"/>
    </row>
    <row r="648" spans="1:51" ht="22.95" customHeight="1">
      <c r="A648" s="199"/>
      <c r="B648" s="1277"/>
      <c r="C648" s="1277"/>
      <c r="D648" s="1277"/>
      <c r="E648" s="1277"/>
      <c r="F648" s="1277"/>
      <c r="G648" s="1277"/>
      <c r="H648" s="1277"/>
      <c r="I648" s="1277"/>
      <c r="J648" s="1277"/>
      <c r="K648" s="1277"/>
      <c r="L648" s="1277"/>
      <c r="M648" s="1277"/>
      <c r="N648" s="200"/>
      <c r="O648" s="199"/>
      <c r="P648" s="24"/>
      <c r="Q648" s="24"/>
      <c r="R648" s="398"/>
      <c r="S648" s="398"/>
      <c r="T648" s="398"/>
      <c r="U648" s="398"/>
      <c r="V648" s="398"/>
      <c r="W648" s="398"/>
      <c r="X648" s="398"/>
      <c r="Y648" s="398"/>
      <c r="Z648" s="398"/>
      <c r="AA648" s="398"/>
      <c r="AB648" s="200"/>
      <c r="AC648" s="1"/>
      <c r="AD648" s="1"/>
      <c r="AE648" s="1"/>
      <c r="AF648" s="1"/>
      <c r="AG648" s="1"/>
      <c r="AH648" s="1"/>
      <c r="AI648" s="1"/>
      <c r="AJ648" s="1"/>
      <c r="AK648" s="1"/>
      <c r="AL648" s="1"/>
      <c r="AM648" s="1"/>
      <c r="AN648" s="1"/>
      <c r="AO648" s="1"/>
      <c r="AP648" s="1"/>
      <c r="AQ648" s="1"/>
      <c r="AR648" s="1"/>
      <c r="AS648" s="1"/>
      <c r="AT648" s="1"/>
      <c r="AU648" s="1"/>
      <c r="AV648" s="1"/>
      <c r="AW648" s="1"/>
      <c r="AX648" s="1"/>
      <c r="AY648" s="1"/>
    </row>
    <row r="649" spans="1:51" ht="22.95" customHeight="1">
      <c r="A649" s="199"/>
      <c r="B649" s="1277"/>
      <c r="C649" s="1277"/>
      <c r="D649" s="1277"/>
      <c r="E649" s="1277"/>
      <c r="F649" s="1277"/>
      <c r="G649" s="1277"/>
      <c r="H649" s="1277"/>
      <c r="I649" s="1277"/>
      <c r="J649" s="1277"/>
      <c r="K649" s="1277"/>
      <c r="L649" s="1277"/>
      <c r="M649" s="1277"/>
      <c r="N649" s="200"/>
      <c r="O649" s="199"/>
      <c r="P649" s="24"/>
      <c r="Q649" s="24"/>
      <c r="R649" s="398"/>
      <c r="S649" s="398"/>
      <c r="T649" s="398"/>
      <c r="U649" s="398"/>
      <c r="V649" s="398"/>
      <c r="W649" s="398"/>
      <c r="X649" s="398"/>
      <c r="Y649" s="398"/>
      <c r="Z649" s="398"/>
      <c r="AA649" s="398"/>
      <c r="AB649" s="200"/>
      <c r="AC649" s="1"/>
      <c r="AD649" s="1"/>
      <c r="AE649" s="1"/>
      <c r="AF649" s="1"/>
      <c r="AG649" s="1"/>
      <c r="AH649" s="1"/>
      <c r="AI649" s="1"/>
      <c r="AJ649" s="1"/>
      <c r="AK649" s="1"/>
      <c r="AL649" s="1"/>
      <c r="AM649" s="1"/>
      <c r="AN649" s="1"/>
      <c r="AO649" s="1"/>
      <c r="AP649" s="1"/>
      <c r="AQ649" s="1"/>
      <c r="AR649" s="1"/>
      <c r="AS649" s="1"/>
      <c r="AT649" s="1"/>
      <c r="AU649" s="1"/>
      <c r="AV649" s="1"/>
      <c r="AW649" s="1"/>
      <c r="AX649" s="1"/>
      <c r="AY649" s="1"/>
    </row>
    <row r="650" spans="1:51" ht="4.95" customHeight="1">
      <c r="A650" s="199"/>
      <c r="B650" s="24"/>
      <c r="C650" s="24"/>
      <c r="D650" s="24"/>
      <c r="E650" s="24"/>
      <c r="F650" s="24"/>
      <c r="G650" s="24"/>
      <c r="H650" s="24"/>
      <c r="I650" s="24"/>
      <c r="J650" s="24"/>
      <c r="K650" s="24"/>
      <c r="L650" s="24"/>
      <c r="M650" s="24"/>
      <c r="N650" s="200"/>
      <c r="O650" s="199"/>
      <c r="P650" s="24"/>
      <c r="Q650" s="24"/>
      <c r="R650" s="398"/>
      <c r="S650" s="398"/>
      <c r="T650" s="398"/>
      <c r="U650" s="398"/>
      <c r="V650" s="398"/>
      <c r="W650" s="398"/>
      <c r="X650" s="398"/>
      <c r="Y650" s="398"/>
      <c r="Z650" s="398"/>
      <c r="AA650" s="398"/>
      <c r="AB650" s="200"/>
      <c r="AC650" s="1"/>
      <c r="AD650" s="1"/>
      <c r="AE650" s="1"/>
      <c r="AF650" s="1"/>
      <c r="AG650" s="1"/>
      <c r="AH650" s="1"/>
      <c r="AI650" s="1"/>
      <c r="AJ650" s="1"/>
      <c r="AK650" s="1"/>
      <c r="AL650" s="1"/>
      <c r="AM650" s="1"/>
      <c r="AN650" s="1"/>
      <c r="AO650" s="1"/>
      <c r="AP650" s="1"/>
      <c r="AQ650" s="1"/>
      <c r="AR650" s="1"/>
      <c r="AS650" s="1"/>
      <c r="AT650" s="1"/>
      <c r="AU650" s="1"/>
      <c r="AV650" s="1"/>
      <c r="AW650" s="1"/>
      <c r="AX650" s="1"/>
      <c r="AY650" s="1"/>
    </row>
    <row r="651" spans="1:51" ht="19.95" customHeight="1">
      <c r="A651" s="199"/>
      <c r="B651" s="24"/>
      <c r="C651" s="24"/>
      <c r="D651" s="24"/>
      <c r="E651" s="24"/>
      <c r="F651" s="24"/>
      <c r="G651" s="24"/>
      <c r="H651" s="24"/>
      <c r="I651" s="24"/>
      <c r="J651" s="24"/>
      <c r="K651" s="24"/>
      <c r="L651" s="24"/>
      <c r="M651" s="24"/>
      <c r="N651" s="200"/>
      <c r="O651" s="199"/>
      <c r="P651" s="24"/>
      <c r="Q651" s="24"/>
      <c r="R651" s="398"/>
      <c r="S651" s="398"/>
      <c r="T651" s="398"/>
      <c r="U651" s="398"/>
      <c r="V651" s="398"/>
      <c r="W651" s="398"/>
      <c r="X651" s="398"/>
      <c r="Y651" s="398"/>
      <c r="Z651" s="398"/>
      <c r="AA651" s="398"/>
      <c r="AB651" s="200"/>
      <c r="AC651" s="1"/>
      <c r="AD651" s="1"/>
      <c r="AE651" s="1"/>
      <c r="AF651" s="1"/>
      <c r="AG651" s="1"/>
      <c r="AH651" s="1"/>
      <c r="AI651" s="1"/>
      <c r="AJ651" s="1"/>
      <c r="AK651" s="1"/>
      <c r="AL651" s="1"/>
      <c r="AM651" s="1"/>
      <c r="AN651" s="1"/>
      <c r="AO651" s="1"/>
      <c r="AP651" s="1"/>
      <c r="AQ651" s="1"/>
      <c r="AR651" s="1"/>
      <c r="AS651" s="1"/>
      <c r="AT651" s="1"/>
      <c r="AU651" s="1"/>
      <c r="AV651" s="1"/>
      <c r="AW651" s="1"/>
      <c r="AX651" s="1"/>
      <c r="AY651" s="1"/>
    </row>
    <row r="652" spans="1:51" ht="19.95" customHeight="1">
      <c r="A652" s="199"/>
      <c r="B652" s="24"/>
      <c r="C652" s="24"/>
      <c r="D652" s="24"/>
      <c r="E652" s="24"/>
      <c r="F652" s="24"/>
      <c r="G652" s="24"/>
      <c r="H652" s="24"/>
      <c r="I652" s="24"/>
      <c r="J652" s="24"/>
      <c r="K652" s="24"/>
      <c r="L652" s="24"/>
      <c r="M652" s="24"/>
      <c r="N652" s="200"/>
      <c r="O652" s="199"/>
      <c r="P652" s="24"/>
      <c r="Q652" s="24"/>
      <c r="R652" s="398"/>
      <c r="S652" s="398"/>
      <c r="T652" s="398"/>
      <c r="U652" s="398"/>
      <c r="V652" s="398"/>
      <c r="W652" s="398"/>
      <c r="X652" s="398"/>
      <c r="Y652" s="398"/>
      <c r="Z652" s="398"/>
      <c r="AA652" s="398"/>
      <c r="AB652" s="200"/>
      <c r="AC652" s="1"/>
      <c r="AD652" s="1"/>
      <c r="AE652" s="1"/>
      <c r="AF652" s="1"/>
      <c r="AG652" s="1"/>
      <c r="AH652" s="1"/>
      <c r="AI652" s="1"/>
      <c r="AJ652" s="1"/>
      <c r="AK652" s="1"/>
      <c r="AL652" s="1"/>
      <c r="AM652" s="1"/>
      <c r="AN652" s="1"/>
      <c r="AO652" s="1"/>
      <c r="AP652" s="1"/>
      <c r="AQ652" s="1"/>
      <c r="AR652" s="1"/>
      <c r="AS652" s="1"/>
      <c r="AT652" s="1"/>
      <c r="AU652" s="1"/>
      <c r="AV652" s="1"/>
      <c r="AW652" s="1"/>
      <c r="AX652" s="1"/>
      <c r="AY652" s="1"/>
    </row>
    <row r="653" spans="1:51" ht="19.95" customHeight="1">
      <c r="A653" s="199"/>
      <c r="B653" s="24"/>
      <c r="C653" s="24"/>
      <c r="D653" s="24"/>
      <c r="E653" s="24"/>
      <c r="F653" s="24"/>
      <c r="G653" s="24"/>
      <c r="H653" s="24"/>
      <c r="I653" s="24"/>
      <c r="J653" s="24"/>
      <c r="K653" s="24"/>
      <c r="L653" s="24"/>
      <c r="M653" s="24"/>
      <c r="N653" s="200"/>
      <c r="O653" s="199"/>
      <c r="P653" s="24"/>
      <c r="Q653" s="24"/>
      <c r="R653" s="398"/>
      <c r="S653" s="398"/>
      <c r="T653" s="398"/>
      <c r="U653" s="398"/>
      <c r="V653" s="398"/>
      <c r="W653" s="398"/>
      <c r="X653" s="398"/>
      <c r="Y653" s="398"/>
      <c r="Z653" s="398"/>
      <c r="AA653" s="398"/>
      <c r="AB653" s="200"/>
      <c r="AC653" s="1"/>
      <c r="AD653" s="1"/>
      <c r="AE653" s="1"/>
      <c r="AF653" s="1"/>
      <c r="AG653" s="1"/>
      <c r="AH653" s="1"/>
      <c r="AI653" s="1"/>
      <c r="AJ653" s="1"/>
      <c r="AK653" s="1"/>
      <c r="AL653" s="1"/>
      <c r="AM653" s="1"/>
      <c r="AN653" s="1"/>
      <c r="AO653" s="1"/>
      <c r="AP653" s="1"/>
      <c r="AQ653" s="1"/>
      <c r="AR653" s="1"/>
      <c r="AS653" s="1"/>
      <c r="AT653" s="1"/>
      <c r="AU653" s="1"/>
      <c r="AV653" s="1"/>
      <c r="AW653" s="1"/>
      <c r="AX653" s="1"/>
      <c r="AY653" s="1"/>
    </row>
    <row r="654" spans="1:51" ht="19.95" customHeight="1">
      <c r="A654" s="199"/>
      <c r="B654" s="24"/>
      <c r="C654" s="24"/>
      <c r="D654" s="24"/>
      <c r="E654" s="24"/>
      <c r="F654" s="24"/>
      <c r="G654" s="24"/>
      <c r="H654" s="24"/>
      <c r="I654" s="24"/>
      <c r="J654" s="24"/>
      <c r="K654" s="24"/>
      <c r="L654" s="24"/>
      <c r="M654" s="24"/>
      <c r="N654" s="200"/>
      <c r="O654" s="199"/>
      <c r="P654" s="24"/>
      <c r="Q654" s="24"/>
      <c r="R654" s="398"/>
      <c r="S654" s="398"/>
      <c r="T654" s="398"/>
      <c r="U654" s="398"/>
      <c r="V654" s="398"/>
      <c r="W654" s="398"/>
      <c r="X654" s="398"/>
      <c r="Y654" s="398"/>
      <c r="Z654" s="398"/>
      <c r="AA654" s="398"/>
      <c r="AB654" s="200"/>
      <c r="AC654" s="1"/>
      <c r="AD654" s="1"/>
      <c r="AE654" s="1"/>
      <c r="AF654" s="1"/>
      <c r="AG654" s="1"/>
      <c r="AH654" s="1"/>
      <c r="AI654" s="1"/>
      <c r="AJ654" s="1"/>
      <c r="AK654" s="1"/>
      <c r="AL654" s="1"/>
      <c r="AM654" s="1"/>
      <c r="AN654" s="1"/>
      <c r="AO654" s="1"/>
      <c r="AP654" s="1"/>
      <c r="AQ654" s="1"/>
      <c r="AR654" s="1"/>
      <c r="AS654" s="1"/>
      <c r="AT654" s="1"/>
      <c r="AU654" s="1"/>
      <c r="AV654" s="1"/>
      <c r="AW654" s="1"/>
      <c r="AX654" s="1"/>
      <c r="AY654" s="1"/>
    </row>
    <row r="655" spans="1:51" ht="19.95" customHeight="1">
      <c r="A655" s="199"/>
      <c r="B655" s="24"/>
      <c r="C655" s="24"/>
      <c r="D655" s="24"/>
      <c r="E655" s="24"/>
      <c r="F655" s="24"/>
      <c r="G655" s="24"/>
      <c r="H655" s="24"/>
      <c r="I655" s="24"/>
      <c r="J655" s="24"/>
      <c r="K655" s="24"/>
      <c r="L655" s="24"/>
      <c r="M655" s="24"/>
      <c r="N655" s="200"/>
      <c r="O655" s="199"/>
      <c r="P655" s="24"/>
      <c r="Q655" s="24"/>
      <c r="R655" s="398"/>
      <c r="S655" s="398"/>
      <c r="T655" s="398"/>
      <c r="U655" s="398"/>
      <c r="V655" s="398"/>
      <c r="W655" s="398"/>
      <c r="X655" s="398"/>
      <c r="Y655" s="398"/>
      <c r="Z655" s="398"/>
      <c r="AA655" s="398"/>
      <c r="AB655" s="200"/>
      <c r="AC655" s="1"/>
      <c r="AD655" s="1"/>
      <c r="AE655" s="1"/>
      <c r="AF655" s="1"/>
      <c r="AG655" s="1"/>
      <c r="AH655" s="1"/>
      <c r="AI655" s="1"/>
      <c r="AJ655" s="1"/>
      <c r="AK655" s="1"/>
      <c r="AL655" s="1"/>
      <c r="AM655" s="1"/>
      <c r="AN655" s="1"/>
      <c r="AO655" s="1"/>
      <c r="AP655" s="1"/>
      <c r="AQ655" s="1"/>
      <c r="AR655" s="1"/>
      <c r="AS655" s="1"/>
      <c r="AT655" s="1"/>
      <c r="AU655" s="1"/>
      <c r="AV655" s="1"/>
      <c r="AW655" s="1"/>
      <c r="AX655" s="1"/>
      <c r="AY655" s="1"/>
    </row>
    <row r="656" spans="1:51" ht="19.95" customHeight="1">
      <c r="A656" s="199"/>
      <c r="B656" s="24"/>
      <c r="C656" s="24"/>
      <c r="D656" s="24"/>
      <c r="E656" s="24"/>
      <c r="F656" s="24"/>
      <c r="G656" s="24"/>
      <c r="H656" s="24"/>
      <c r="I656" s="24"/>
      <c r="J656" s="24"/>
      <c r="K656" s="24"/>
      <c r="L656" s="24"/>
      <c r="M656" s="24"/>
      <c r="N656" s="200"/>
      <c r="O656" s="199"/>
      <c r="P656" s="24"/>
      <c r="Q656" s="24"/>
      <c r="R656" s="398"/>
      <c r="S656" s="398"/>
      <c r="T656" s="398"/>
      <c r="U656" s="398"/>
      <c r="V656" s="398"/>
      <c r="W656" s="398"/>
      <c r="X656" s="398"/>
      <c r="Y656" s="398"/>
      <c r="Z656" s="398"/>
      <c r="AA656" s="398"/>
      <c r="AB656" s="200"/>
      <c r="AC656" s="1"/>
      <c r="AD656" s="1"/>
      <c r="AE656" s="1"/>
      <c r="AF656" s="1"/>
      <c r="AG656" s="1"/>
      <c r="AH656" s="1"/>
      <c r="AI656" s="1"/>
      <c r="AJ656" s="1"/>
      <c r="AK656" s="1"/>
      <c r="AL656" s="1"/>
      <c r="AM656" s="1"/>
      <c r="AN656" s="1"/>
      <c r="AO656" s="1"/>
      <c r="AP656" s="1"/>
      <c r="AQ656" s="1"/>
      <c r="AR656" s="1"/>
      <c r="AS656" s="1"/>
      <c r="AT656" s="1"/>
      <c r="AU656" s="1"/>
      <c r="AV656" s="1"/>
      <c r="AW656" s="1"/>
      <c r="AX656" s="1"/>
      <c r="AY656" s="1"/>
    </row>
    <row r="657" spans="1:60" ht="4.95" customHeight="1">
      <c r="A657" s="199"/>
      <c r="B657" s="24"/>
      <c r="C657" s="24"/>
      <c r="D657" s="24"/>
      <c r="E657" s="24"/>
      <c r="F657" s="24"/>
      <c r="G657" s="24"/>
      <c r="H657" s="24"/>
      <c r="I657" s="24"/>
      <c r="J657" s="24"/>
      <c r="K657" s="24"/>
      <c r="L657" s="24"/>
      <c r="M657" s="24"/>
      <c r="N657" s="200"/>
      <c r="O657" s="199"/>
      <c r="P657" s="24"/>
      <c r="Q657" s="24"/>
      <c r="R657" s="398"/>
      <c r="S657" s="398"/>
      <c r="T657" s="398"/>
      <c r="U657" s="398"/>
      <c r="V657" s="398"/>
      <c r="W657" s="398"/>
      <c r="X657" s="398"/>
      <c r="Y657" s="398"/>
      <c r="Z657" s="398"/>
      <c r="AA657" s="398"/>
      <c r="AB657" s="200"/>
      <c r="AC657" s="1"/>
      <c r="AD657" s="1"/>
      <c r="AE657" s="1"/>
      <c r="AF657" s="1"/>
      <c r="AG657" s="1"/>
      <c r="AH657" s="1"/>
      <c r="AI657" s="1"/>
      <c r="AJ657" s="1"/>
      <c r="AK657" s="1"/>
      <c r="AL657" s="1"/>
      <c r="AM657" s="1"/>
      <c r="AN657" s="1"/>
      <c r="AO657" s="1"/>
      <c r="AP657" s="1"/>
      <c r="AQ657" s="1"/>
      <c r="AR657" s="1"/>
      <c r="AS657" s="1"/>
      <c r="AT657" s="1"/>
      <c r="AU657" s="1"/>
      <c r="AV657" s="1"/>
      <c r="AW657" s="1"/>
      <c r="AX657" s="1"/>
      <c r="AY657" s="1"/>
    </row>
    <row r="658" spans="1:60" ht="19.95" customHeight="1">
      <c r="A658" s="199"/>
      <c r="B658" s="1277" t="s">
        <v>1775</v>
      </c>
      <c r="C658" s="1277"/>
      <c r="D658" s="1277"/>
      <c r="E658" s="1277"/>
      <c r="F658" s="1277"/>
      <c r="G658" s="1277"/>
      <c r="H658" s="24"/>
      <c r="I658" s="24"/>
      <c r="J658" s="24"/>
      <c r="K658" s="24"/>
      <c r="L658" s="24" t="s">
        <v>1754</v>
      </c>
      <c r="M658" s="24"/>
      <c r="N658" s="200"/>
      <c r="O658" s="199"/>
      <c r="P658" s="24"/>
      <c r="Q658" s="24"/>
      <c r="R658" s="398"/>
      <c r="S658" s="398"/>
      <c r="T658" s="398"/>
      <c r="U658" s="398"/>
      <c r="V658" s="398"/>
      <c r="W658" s="398"/>
      <c r="X658" s="398"/>
      <c r="Y658" s="398"/>
      <c r="Z658" s="398"/>
      <c r="AA658" s="398"/>
      <c r="AB658" s="200"/>
      <c r="AC658" s="1"/>
      <c r="AD658" s="1"/>
      <c r="AE658" s="1"/>
      <c r="AF658" s="1"/>
      <c r="AG658" s="1"/>
      <c r="AH658" s="1"/>
      <c r="AI658" s="1"/>
      <c r="AJ658" s="1"/>
      <c r="AK658" s="1"/>
      <c r="AL658" s="1"/>
      <c r="AM658" s="1"/>
      <c r="AN658" s="1"/>
      <c r="AO658" s="1"/>
      <c r="AP658" s="1"/>
      <c r="AQ658" s="1"/>
      <c r="AR658" s="1"/>
      <c r="AS658" s="1"/>
      <c r="AT658" s="1"/>
      <c r="AU658" s="1"/>
      <c r="AV658" s="1"/>
      <c r="AW658" s="1"/>
      <c r="AX658" s="1"/>
      <c r="AY658" s="1"/>
      <c r="BH658" s="569" t="str">
        <f>L658</f>
        <v>generalize to relieve</v>
      </c>
    </row>
    <row r="659" spans="1:60" ht="19.95" customHeight="1">
      <c r="A659" s="199"/>
      <c r="B659" s="1277"/>
      <c r="C659" s="1277"/>
      <c r="D659" s="1277"/>
      <c r="E659" s="1277"/>
      <c r="F659" s="1277"/>
      <c r="G659" s="1277"/>
      <c r="H659" s="24"/>
      <c r="I659" s="24"/>
      <c r="J659" s="24"/>
      <c r="K659" s="1298" t="str">
        <f>BH659</f>
        <v>full inclusion</v>
      </c>
      <c r="L659" s="1298"/>
      <c r="M659" s="1298"/>
      <c r="N659" s="200"/>
      <c r="O659" s="199"/>
      <c r="P659" s="24"/>
      <c r="Q659" s="24"/>
      <c r="R659" s="398"/>
      <c r="S659" s="398"/>
      <c r="T659" s="398"/>
      <c r="U659" s="398"/>
      <c r="V659" s="398"/>
      <c r="W659" s="398"/>
      <c r="X659" s="398"/>
      <c r="Y659" s="398"/>
      <c r="Z659" s="398"/>
      <c r="AA659" s="398"/>
      <c r="AB659" s="200"/>
      <c r="AC659" s="1"/>
      <c r="AD659" s="1"/>
      <c r="AE659" s="1"/>
      <c r="AF659" s="1"/>
      <c r="AG659" s="1"/>
      <c r="AH659" s="1"/>
      <c r="AI659" s="1"/>
      <c r="AJ659" s="1"/>
      <c r="AK659" s="1"/>
      <c r="AL659" s="1"/>
      <c r="AM659" s="1"/>
      <c r="AN659" s="1"/>
      <c r="AO659" s="1"/>
      <c r="AP659" s="1"/>
      <c r="AQ659" s="1"/>
      <c r="AR659" s="1"/>
      <c r="AS659" s="1"/>
      <c r="AT659" s="1"/>
      <c r="AU659" s="1"/>
      <c r="AV659" s="1"/>
      <c r="AW659" s="1"/>
      <c r="AX659" s="1"/>
      <c r="AY659" s="1"/>
      <c r="BH659" s="568" t="str">
        <f>BG$1122</f>
        <v>full inclusion</v>
      </c>
    </row>
    <row r="660" spans="1:60" ht="19.95" customHeight="1">
      <c r="A660" s="199"/>
      <c r="B660" s="1277"/>
      <c r="C660" s="1277"/>
      <c r="D660" s="1277"/>
      <c r="E660" s="1277"/>
      <c r="F660" s="1277"/>
      <c r="G660" s="1277"/>
      <c r="H660" s="24" t="s">
        <v>1755</v>
      </c>
      <c r="I660" s="24"/>
      <c r="J660" s="24"/>
      <c r="K660" s="24"/>
      <c r="L660" s="24"/>
      <c r="M660" s="24"/>
      <c r="N660" s="200"/>
      <c r="O660" s="199"/>
      <c r="P660" s="24"/>
      <c r="Q660" s="24"/>
      <c r="R660" s="398"/>
      <c r="S660" s="398"/>
      <c r="T660" s="398"/>
      <c r="U660" s="398"/>
      <c r="V660" s="398"/>
      <c r="W660" s="398"/>
      <c r="X660" s="398"/>
      <c r="Y660" s="398"/>
      <c r="Z660" s="398"/>
      <c r="AA660" s="398"/>
      <c r="AB660" s="200"/>
      <c r="AC660" s="1"/>
      <c r="AD660" s="1"/>
      <c r="AE660" s="1"/>
      <c r="AF660" s="1"/>
      <c r="AG660" s="1"/>
      <c r="AH660" s="1"/>
      <c r="AI660" s="1"/>
      <c r="AJ660" s="1"/>
      <c r="AK660" s="1"/>
      <c r="AL660" s="1"/>
      <c r="AM660" s="1"/>
      <c r="AN660" s="1"/>
      <c r="AO660" s="1"/>
      <c r="AP660" s="1"/>
      <c r="AQ660" s="1"/>
      <c r="AR660" s="1"/>
      <c r="AS660" s="1"/>
      <c r="AT660" s="1"/>
      <c r="AU660" s="1"/>
      <c r="AV660" s="1"/>
      <c r="AW660" s="1"/>
      <c r="AX660" s="1"/>
      <c r="AY660" s="1"/>
      <c r="BH660" s="569" t="str">
        <f>H660</f>
        <v>guard more resolved</v>
      </c>
    </row>
    <row r="661" spans="1:60" ht="19.95" customHeight="1">
      <c r="A661" s="199"/>
      <c r="B661" s="1277"/>
      <c r="C661" s="1277"/>
      <c r="D661" s="1277"/>
      <c r="E661" s="1277"/>
      <c r="F661" s="1277"/>
      <c r="G661" s="1277"/>
      <c r="H661" s="1309" t="str">
        <f>BH661</f>
        <v>self-determination</v>
      </c>
      <c r="I661" s="1309"/>
      <c r="J661" s="1309"/>
      <c r="K661" s="24"/>
      <c r="L661" s="24"/>
      <c r="M661" s="24"/>
      <c r="N661" s="200"/>
      <c r="O661" s="199"/>
      <c r="P661" s="24"/>
      <c r="Q661" s="24"/>
      <c r="R661" s="398"/>
      <c r="S661" s="398"/>
      <c r="T661" s="398"/>
      <c r="U661" s="398"/>
      <c r="V661" s="398"/>
      <c r="W661" s="398"/>
      <c r="X661" s="398"/>
      <c r="Y661" s="398"/>
      <c r="Z661" s="398"/>
      <c r="AA661" s="398"/>
      <c r="AB661" s="200"/>
      <c r="AC661" s="1"/>
      <c r="AD661" s="1"/>
      <c r="AE661" s="1"/>
      <c r="AF661" s="1"/>
      <c r="AG661" s="1"/>
      <c r="AH661" s="1"/>
      <c r="AI661" s="1"/>
      <c r="AJ661" s="1"/>
      <c r="AK661" s="1"/>
      <c r="AL661" s="1"/>
      <c r="AM661" s="1"/>
      <c r="AN661" s="1"/>
      <c r="AO661" s="1"/>
      <c r="AP661" s="1"/>
      <c r="AQ661" s="1"/>
      <c r="AR661" s="1"/>
      <c r="AS661" s="1"/>
      <c r="AT661" s="1"/>
      <c r="AU661" s="1"/>
      <c r="AV661" s="1"/>
      <c r="AW661" s="1"/>
      <c r="AX661" s="1"/>
      <c r="AY661" s="1"/>
      <c r="BH661" s="568" t="str">
        <f>BI$1122</f>
        <v>self-determination</v>
      </c>
    </row>
    <row r="662" spans="1:60" ht="19.95" customHeight="1">
      <c r="A662" s="199"/>
      <c r="B662" s="1277"/>
      <c r="C662" s="1277"/>
      <c r="D662" s="1277"/>
      <c r="E662" s="1277"/>
      <c r="F662" s="1277"/>
      <c r="G662" s="1277"/>
      <c r="H662" s="24"/>
      <c r="I662" s="24"/>
      <c r="J662" s="24"/>
      <c r="K662" s="24"/>
      <c r="L662" s="24"/>
      <c r="M662" s="24"/>
      <c r="N662" s="200"/>
      <c r="O662" s="199"/>
      <c r="P662" s="24"/>
      <c r="Q662" s="24"/>
      <c r="R662" s="398"/>
      <c r="S662" s="398"/>
      <c r="T662" s="398"/>
      <c r="U662" s="398"/>
      <c r="V662" s="398"/>
      <c r="W662" s="398"/>
      <c r="X662" s="398"/>
      <c r="Y662" s="398"/>
      <c r="Z662" s="398"/>
      <c r="AA662" s="398"/>
      <c r="AB662" s="200"/>
      <c r="AC662" s="1"/>
      <c r="AD662" s="1"/>
      <c r="AE662" s="1"/>
      <c r="AF662" s="1"/>
      <c r="AG662" s="1"/>
      <c r="AH662" s="1"/>
      <c r="AI662" s="1"/>
      <c r="AJ662" s="1"/>
      <c r="AK662" s="1"/>
      <c r="AL662" s="1"/>
      <c r="AM662" s="1"/>
      <c r="AN662" s="1"/>
      <c r="AO662" s="1"/>
      <c r="AP662" s="1"/>
      <c r="AQ662" s="1"/>
      <c r="AR662" s="1"/>
      <c r="AS662" s="1"/>
      <c r="AT662" s="1"/>
      <c r="AU662" s="1"/>
      <c r="AV662" s="1"/>
      <c r="AW662" s="1"/>
      <c r="AX662" s="1"/>
      <c r="AY662" s="1"/>
      <c r="BH662" s="569" t="str">
        <f>H664</f>
        <v>generalize to relieve</v>
      </c>
    </row>
    <row r="663" spans="1:60" ht="19.95" customHeight="1">
      <c r="A663" s="199"/>
      <c r="B663" s="1277"/>
      <c r="C663" s="1277"/>
      <c r="D663" s="1277"/>
      <c r="E663" s="1277"/>
      <c r="F663" s="1277"/>
      <c r="G663" s="1277"/>
      <c r="H663" s="24"/>
      <c r="I663" s="24"/>
      <c r="J663" s="24"/>
      <c r="K663" s="24"/>
      <c r="L663" s="24"/>
      <c r="M663" s="24"/>
      <c r="N663" s="200"/>
      <c r="O663" s="199"/>
      <c r="P663" s="24"/>
      <c r="Q663" s="24"/>
      <c r="R663" s="398"/>
      <c r="S663" s="398"/>
      <c r="T663" s="398"/>
      <c r="U663" s="398"/>
      <c r="V663" s="398"/>
      <c r="W663" s="398"/>
      <c r="X663" s="398"/>
      <c r="Y663" s="398"/>
      <c r="Z663" s="398"/>
      <c r="AA663" s="398"/>
      <c r="AB663" s="200"/>
      <c r="AC663" s="1"/>
      <c r="AD663" s="1"/>
      <c r="AE663" s="1"/>
      <c r="AF663" s="1"/>
      <c r="AG663" s="1"/>
      <c r="AH663" s="1"/>
      <c r="AI663" s="1"/>
      <c r="AJ663" s="1"/>
      <c r="AK663" s="1"/>
      <c r="AL663" s="1"/>
      <c r="AM663" s="1"/>
      <c r="AN663" s="1"/>
      <c r="AO663" s="1"/>
      <c r="AP663" s="1"/>
      <c r="AQ663" s="1"/>
      <c r="AR663" s="1"/>
      <c r="AS663" s="1"/>
      <c r="AT663" s="1"/>
      <c r="AU663" s="1"/>
      <c r="AV663" s="1"/>
      <c r="AW663" s="1"/>
      <c r="AX663" s="1"/>
      <c r="AY663" s="1"/>
      <c r="BH663" s="568" t="str">
        <f>BH$1122</f>
        <v>self-protection</v>
      </c>
    </row>
    <row r="664" spans="1:60" ht="19.95" customHeight="1">
      <c r="A664" s="199"/>
      <c r="B664" s="1277"/>
      <c r="C664" s="1277"/>
      <c r="D664" s="1277"/>
      <c r="E664" s="1277"/>
      <c r="F664" s="1277"/>
      <c r="G664" s="1277"/>
      <c r="H664" s="24" t="s">
        <v>1754</v>
      </c>
      <c r="I664" s="24"/>
      <c r="J664" s="24"/>
      <c r="K664" s="24"/>
      <c r="L664" s="24"/>
      <c r="M664" s="24"/>
      <c r="N664" s="200"/>
      <c r="O664" s="199"/>
      <c r="P664" s="24"/>
      <c r="Q664" s="24"/>
      <c r="R664" s="398"/>
      <c r="S664" s="398"/>
      <c r="T664" s="398"/>
      <c r="U664" s="398"/>
      <c r="V664" s="398"/>
      <c r="W664" s="398"/>
      <c r="X664" s="398"/>
      <c r="Y664" s="398"/>
      <c r="Z664" s="398"/>
      <c r="AA664" s="398"/>
      <c r="AB664" s="200"/>
      <c r="AC664" s="1"/>
      <c r="AD664" s="1"/>
      <c r="AE664" s="1"/>
      <c r="AF664" s="1"/>
      <c r="AG664" s="1"/>
      <c r="AH664" s="1"/>
      <c r="AI664" s="1"/>
      <c r="AJ664" s="1"/>
      <c r="AK664" s="1"/>
      <c r="AL664" s="1"/>
      <c r="AM664" s="1"/>
      <c r="AN664" s="1"/>
      <c r="AO664" s="1"/>
      <c r="AP664" s="1"/>
      <c r="AQ664" s="1"/>
      <c r="AR664" s="1"/>
      <c r="AS664" s="1"/>
      <c r="AT664" s="1"/>
      <c r="AU664" s="1"/>
      <c r="AV664" s="1"/>
      <c r="AW664" s="1"/>
      <c r="AX664" s="1"/>
      <c r="AY664" s="1"/>
      <c r="BH664" s="569" t="str">
        <f>L666</f>
        <v>guard more resolved</v>
      </c>
    </row>
    <row r="665" spans="1:60" ht="19.95" customHeight="1">
      <c r="A665" s="199"/>
      <c r="B665" s="1277"/>
      <c r="C665" s="1277"/>
      <c r="D665" s="1277"/>
      <c r="E665" s="1277"/>
      <c r="F665" s="1277"/>
      <c r="G665" s="1277"/>
      <c r="H665" s="1309" t="str">
        <f>BH663</f>
        <v>self-protection</v>
      </c>
      <c r="I665" s="1309"/>
      <c r="J665" s="1309"/>
      <c r="K665" s="24"/>
      <c r="L665" s="24"/>
      <c r="M665" s="24"/>
      <c r="N665" s="200"/>
      <c r="O665" s="199"/>
      <c r="P665" s="24"/>
      <c r="Q665" s="24"/>
      <c r="R665" s="398"/>
      <c r="S665" s="398"/>
      <c r="T665" s="398"/>
      <c r="U665" s="398"/>
      <c r="V665" s="398"/>
      <c r="W665" s="398"/>
      <c r="X665" s="398"/>
      <c r="Y665" s="398"/>
      <c r="Z665" s="398"/>
      <c r="AA665" s="398"/>
      <c r="AB665" s="200"/>
      <c r="AC665" s="1"/>
      <c r="AD665" s="1"/>
      <c r="AE665" s="1"/>
      <c r="AF665" s="1"/>
      <c r="AG665" s="1"/>
      <c r="AH665" s="1"/>
      <c r="AI665" s="1"/>
      <c r="AJ665" s="1"/>
      <c r="AK665" s="1"/>
      <c r="AL665" s="1"/>
      <c r="AM665" s="1"/>
      <c r="AN665" s="1"/>
      <c r="AO665" s="1"/>
      <c r="AP665" s="1"/>
      <c r="AQ665" s="1"/>
      <c r="AR665" s="1"/>
      <c r="AS665" s="1"/>
      <c r="AT665" s="1"/>
      <c r="AU665" s="1"/>
      <c r="AV665" s="1"/>
      <c r="AW665" s="1"/>
      <c r="AX665" s="1"/>
      <c r="AY665" s="1"/>
      <c r="BH665" s="568" t="str">
        <f>BJ$1122</f>
        <v>local cohesion</v>
      </c>
    </row>
    <row r="666" spans="1:60" ht="19.95" customHeight="1">
      <c r="A666" s="199"/>
      <c r="B666" s="1277"/>
      <c r="C666" s="1277"/>
      <c r="D666" s="1277"/>
      <c r="E666" s="1277"/>
      <c r="F666" s="1277"/>
      <c r="G666" s="1277"/>
      <c r="H666" s="24"/>
      <c r="I666" s="24"/>
      <c r="J666" s="24"/>
      <c r="K666" s="24"/>
      <c r="L666" s="24" t="s">
        <v>1755</v>
      </c>
      <c r="M666" s="24"/>
      <c r="N666" s="200"/>
      <c r="O666" s="199"/>
      <c r="P666" s="24"/>
      <c r="Q666" s="24"/>
      <c r="R666" s="398"/>
      <c r="S666" s="398"/>
      <c r="T666" s="398"/>
      <c r="U666" s="398"/>
      <c r="V666" s="398"/>
      <c r="W666" s="398"/>
      <c r="X666" s="398"/>
      <c r="Y666" s="398"/>
      <c r="Z666" s="398"/>
      <c r="AA666" s="398"/>
      <c r="AB666" s="200"/>
      <c r="AC666" s="1"/>
      <c r="AD666" s="1"/>
      <c r="AE666" s="1"/>
      <c r="AF666" s="1"/>
      <c r="AG666" s="1"/>
      <c r="AH666" s="1"/>
      <c r="AI666" s="1"/>
      <c r="AJ666" s="1"/>
      <c r="AK666" s="1"/>
      <c r="AL666" s="1"/>
      <c r="AM666" s="1"/>
      <c r="AN666" s="1"/>
      <c r="AO666" s="1"/>
      <c r="AP666" s="1"/>
      <c r="AQ666" s="1"/>
      <c r="AR666" s="1"/>
      <c r="AS666" s="1"/>
      <c r="AT666" s="1"/>
      <c r="AU666" s="1"/>
      <c r="AV666" s="1"/>
      <c r="AW666" s="1"/>
      <c r="AX666" s="1"/>
      <c r="AY666" s="1"/>
    </row>
    <row r="667" spans="1:60" ht="19.95" customHeight="1">
      <c r="A667" s="199"/>
      <c r="B667" s="1277"/>
      <c r="C667" s="1277"/>
      <c r="D667" s="1277"/>
      <c r="E667" s="1277"/>
      <c r="F667" s="1277"/>
      <c r="G667" s="1277"/>
      <c r="H667" s="24"/>
      <c r="I667" s="24"/>
      <c r="J667" s="24"/>
      <c r="K667" s="1298" t="str">
        <f>BH665</f>
        <v>local cohesion</v>
      </c>
      <c r="L667" s="1298"/>
      <c r="M667" s="1298"/>
      <c r="N667" s="200"/>
      <c r="O667" s="199"/>
      <c r="P667" s="24"/>
      <c r="Q667" s="24"/>
      <c r="R667" s="398"/>
      <c r="S667" s="398"/>
      <c r="T667" s="398"/>
      <c r="U667" s="398"/>
      <c r="V667" s="398"/>
      <c r="W667" s="398"/>
      <c r="X667" s="398"/>
      <c r="Y667" s="398"/>
      <c r="Z667" s="398"/>
      <c r="AA667" s="398"/>
      <c r="AB667" s="200"/>
      <c r="AC667" s="1"/>
      <c r="AD667" s="1"/>
      <c r="AE667" s="1"/>
      <c r="AF667" s="1"/>
      <c r="AG667" s="1"/>
      <c r="AH667" s="1"/>
      <c r="AI667" s="1"/>
      <c r="AJ667" s="1"/>
      <c r="AK667" s="1"/>
      <c r="AL667" s="1"/>
      <c r="AM667" s="1"/>
      <c r="AN667" s="1"/>
      <c r="AO667" s="1"/>
      <c r="AP667" s="1"/>
      <c r="AQ667" s="1"/>
      <c r="AR667" s="1"/>
      <c r="AS667" s="1"/>
      <c r="AT667" s="1"/>
      <c r="AU667" s="1"/>
      <c r="AV667" s="1"/>
      <c r="AW667" s="1"/>
      <c r="AX667" s="1"/>
      <c r="AY667" s="1"/>
    </row>
    <row r="668" spans="1:60" ht="19.95" customHeight="1">
      <c r="A668" s="199"/>
      <c r="B668" s="1277"/>
      <c r="C668" s="1277"/>
      <c r="D668" s="1277"/>
      <c r="E668" s="1277"/>
      <c r="F668" s="1277"/>
      <c r="G668" s="1277"/>
      <c r="H668" s="24"/>
      <c r="I668" s="24"/>
      <c r="J668" s="24"/>
      <c r="K668" s="24"/>
      <c r="L668" s="24"/>
      <c r="M668" s="24"/>
      <c r="N668" s="200"/>
      <c r="O668" s="199"/>
      <c r="P668" s="24"/>
      <c r="Q668" s="24"/>
      <c r="R668" s="398"/>
      <c r="S668" s="398"/>
      <c r="T668" s="398"/>
      <c r="U668" s="398"/>
      <c r="V668" s="398"/>
      <c r="W668" s="398"/>
      <c r="X668" s="398"/>
      <c r="Y668" s="398"/>
      <c r="Z668" s="398"/>
      <c r="AA668" s="398"/>
      <c r="AB668" s="200"/>
      <c r="AC668" s="1"/>
      <c r="AD668" s="1"/>
      <c r="AE668" s="1"/>
      <c r="AF668" s="1"/>
      <c r="AG668" s="1"/>
      <c r="AH668" s="1"/>
      <c r="AI668" s="1"/>
      <c r="AJ668" s="1"/>
      <c r="AK668" s="1"/>
      <c r="AL668" s="1"/>
      <c r="AM668" s="1"/>
      <c r="AN668" s="1"/>
      <c r="AO668" s="1"/>
      <c r="AP668" s="1"/>
      <c r="AQ668" s="1"/>
      <c r="AR668" s="1"/>
      <c r="AS668" s="1"/>
      <c r="AT668" s="1"/>
      <c r="AU668" s="1"/>
      <c r="AV668" s="1"/>
      <c r="AW668" s="1"/>
      <c r="AX668" s="1"/>
      <c r="AY668" s="1"/>
    </row>
    <row r="669" spans="1:60" ht="19.95" customHeight="1">
      <c r="A669" s="199"/>
      <c r="B669" s="1277"/>
      <c r="C669" s="1277"/>
      <c r="D669" s="1277"/>
      <c r="E669" s="1277"/>
      <c r="F669" s="1277"/>
      <c r="G669" s="1277"/>
      <c r="H669" s="24"/>
      <c r="I669" s="24"/>
      <c r="J669" s="24"/>
      <c r="K669" s="24"/>
      <c r="L669" s="24"/>
      <c r="M669" s="24"/>
      <c r="N669" s="200"/>
      <c r="O669" s="199"/>
      <c r="P669" s="24"/>
      <c r="Q669" s="24"/>
      <c r="R669" s="398"/>
      <c r="S669" s="398"/>
      <c r="T669" s="398"/>
      <c r="U669" s="398"/>
      <c r="V669" s="398"/>
      <c r="W669" s="398"/>
      <c r="X669" s="398"/>
      <c r="Y669" s="398"/>
      <c r="Z669" s="398"/>
      <c r="AA669" s="398"/>
      <c r="AB669" s="200"/>
      <c r="AC669" s="1"/>
      <c r="AD669" s="1"/>
      <c r="AE669" s="1"/>
      <c r="AF669" s="1"/>
      <c r="AG669" s="1"/>
      <c r="AH669" s="1"/>
      <c r="AI669" s="1"/>
      <c r="AJ669" s="1"/>
      <c r="AK669" s="1"/>
      <c r="AL669" s="1"/>
      <c r="AM669" s="1"/>
      <c r="AN669" s="1"/>
      <c r="AO669" s="1"/>
      <c r="AP669" s="1"/>
      <c r="AQ669" s="1"/>
      <c r="AR669" s="1"/>
      <c r="AS669" s="1"/>
      <c r="AT669" s="1"/>
      <c r="AU669" s="1"/>
      <c r="AV669" s="1"/>
      <c r="AW669" s="1"/>
      <c r="AX669" s="1"/>
      <c r="AY669" s="1"/>
    </row>
    <row r="670" spans="1:60" ht="19.95" customHeight="1">
      <c r="A670" s="199"/>
      <c r="B670" s="1277"/>
      <c r="C670" s="1277"/>
      <c r="D670" s="1277"/>
      <c r="E670" s="1277"/>
      <c r="F670" s="1277"/>
      <c r="G670" s="1277"/>
      <c r="H670" s="24"/>
      <c r="I670" s="24"/>
      <c r="J670" s="24"/>
      <c r="K670" s="24"/>
      <c r="L670" s="24"/>
      <c r="M670" s="24"/>
      <c r="N670" s="200"/>
      <c r="O670" s="199"/>
      <c r="P670" s="24"/>
      <c r="Q670" s="24"/>
      <c r="R670" s="398"/>
      <c r="S670" s="398"/>
      <c r="T670" s="398"/>
      <c r="U670" s="398"/>
      <c r="V670" s="398"/>
      <c r="W670" s="398"/>
      <c r="X670" s="398"/>
      <c r="Y670" s="398"/>
      <c r="Z670" s="398"/>
      <c r="AA670" s="398"/>
      <c r="AB670" s="200"/>
      <c r="AC670" s="1"/>
      <c r="AD670" s="1"/>
      <c r="AE670" s="1"/>
      <c r="AF670" s="1"/>
      <c r="AG670" s="1"/>
      <c r="AH670" s="1"/>
      <c r="AI670" s="1"/>
      <c r="AJ670" s="1"/>
      <c r="AK670" s="1"/>
      <c r="AL670" s="1"/>
      <c r="AM670" s="1"/>
      <c r="AN670" s="1"/>
      <c r="AO670" s="1"/>
      <c r="AP670" s="1"/>
      <c r="AQ670" s="1"/>
      <c r="AR670" s="1"/>
      <c r="AS670" s="1"/>
      <c r="AT670" s="1"/>
      <c r="AU670" s="1"/>
      <c r="AV670" s="1"/>
      <c r="AW670" s="1"/>
      <c r="AX670" s="1"/>
      <c r="AY670" s="1"/>
    </row>
    <row r="671" spans="1:60" ht="4.95" customHeight="1">
      <c r="A671" s="199"/>
      <c r="B671" s="390"/>
      <c r="C671" s="390"/>
      <c r="D671" s="390"/>
      <c r="E671" s="390"/>
      <c r="F671" s="390"/>
      <c r="G671" s="390"/>
      <c r="H671" s="24"/>
      <c r="I671" s="24"/>
      <c r="J671" s="24"/>
      <c r="K671" s="24"/>
      <c r="L671" s="24"/>
      <c r="M671" s="24"/>
      <c r="N671" s="200"/>
      <c r="O671" s="199"/>
      <c r="P671" s="24"/>
      <c r="Q671" s="24"/>
      <c r="R671" s="398"/>
      <c r="S671" s="398"/>
      <c r="T671" s="398"/>
      <c r="U671" s="398"/>
      <c r="V671" s="398"/>
      <c r="W671" s="398"/>
      <c r="X671" s="398"/>
      <c r="Y671" s="398"/>
      <c r="Z671" s="398"/>
      <c r="AA671" s="398"/>
      <c r="AB671" s="200"/>
      <c r="AC671" s="1"/>
      <c r="AD671" s="1"/>
      <c r="AE671" s="1"/>
      <c r="AF671" s="1"/>
      <c r="AG671" s="1"/>
      <c r="AH671" s="1"/>
      <c r="AI671" s="1"/>
      <c r="AJ671" s="1"/>
      <c r="AK671" s="1"/>
      <c r="AL671" s="1"/>
      <c r="AM671" s="1"/>
      <c r="AN671" s="1"/>
      <c r="AO671" s="1"/>
      <c r="AP671" s="1"/>
      <c r="AQ671" s="1"/>
      <c r="AR671" s="1"/>
      <c r="AS671" s="1"/>
      <c r="AT671" s="1"/>
      <c r="AU671" s="1"/>
      <c r="AV671" s="1"/>
      <c r="AW671" s="1"/>
      <c r="AX671" s="1"/>
      <c r="AY671" s="1"/>
    </row>
    <row r="672" spans="1:60" ht="24" customHeight="1">
      <c r="A672" s="199"/>
      <c r="B672" s="1277" t="s">
        <v>1776</v>
      </c>
      <c r="C672" s="1277"/>
      <c r="D672" s="1277"/>
      <c r="E672" s="1277"/>
      <c r="F672" s="1277"/>
      <c r="G672" s="1277"/>
      <c r="H672" s="1277"/>
      <c r="I672" s="1277"/>
      <c r="J672" s="1277"/>
      <c r="K672" s="1277"/>
      <c r="L672" s="1277"/>
      <c r="M672" s="1277"/>
      <c r="N672" s="200"/>
      <c r="O672" s="199"/>
      <c r="P672" s="24"/>
      <c r="Q672" s="24"/>
      <c r="R672" s="398"/>
      <c r="S672" s="398"/>
      <c r="T672" s="398"/>
      <c r="U672" s="398"/>
      <c r="V672" s="398"/>
      <c r="W672" s="398"/>
      <c r="X672" s="398"/>
      <c r="Y672" s="398"/>
      <c r="Z672" s="398"/>
      <c r="AA672" s="398"/>
      <c r="AB672" s="200"/>
      <c r="AC672" s="1"/>
      <c r="AD672" s="1"/>
      <c r="AE672" s="1"/>
      <c r="AF672" s="1"/>
      <c r="AG672" s="1"/>
      <c r="AH672" s="1"/>
      <c r="AI672" s="1"/>
      <c r="AJ672" s="1"/>
      <c r="AK672" s="1"/>
      <c r="AL672" s="1"/>
      <c r="AM672" s="1"/>
      <c r="AN672" s="1"/>
      <c r="AO672" s="1"/>
      <c r="AP672" s="1"/>
      <c r="AQ672" s="1"/>
      <c r="AR672" s="1"/>
      <c r="AS672" s="1"/>
      <c r="AT672" s="1"/>
      <c r="AU672" s="1"/>
      <c r="AV672" s="1"/>
      <c r="AW672" s="1"/>
      <c r="AX672" s="1"/>
      <c r="AY672" s="1"/>
    </row>
    <row r="673" spans="1:51" ht="24" customHeight="1">
      <c r="A673" s="199"/>
      <c r="B673" s="1277"/>
      <c r="C673" s="1277"/>
      <c r="D673" s="1277"/>
      <c r="E673" s="1277"/>
      <c r="F673" s="1277"/>
      <c r="G673" s="1277"/>
      <c r="H673" s="1277"/>
      <c r="I673" s="1277"/>
      <c r="J673" s="1277"/>
      <c r="K673" s="1277"/>
      <c r="L673" s="1277"/>
      <c r="M673" s="1277"/>
      <c r="N673" s="200"/>
      <c r="O673" s="199"/>
      <c r="P673" s="24"/>
      <c r="Q673" s="24"/>
      <c r="R673" s="398"/>
      <c r="S673" s="398"/>
      <c r="T673" s="398"/>
      <c r="U673" s="398"/>
      <c r="V673" s="398"/>
      <c r="W673" s="398"/>
      <c r="X673" s="398"/>
      <c r="Y673" s="398"/>
      <c r="Z673" s="398"/>
      <c r="AA673" s="398"/>
      <c r="AB673" s="200"/>
      <c r="AC673" s="1"/>
      <c r="AD673" s="1"/>
      <c r="AE673" s="1"/>
      <c r="AF673" s="1"/>
      <c r="AG673" s="1"/>
      <c r="AH673" s="1"/>
      <c r="AI673" s="1"/>
      <c r="AJ673" s="1"/>
      <c r="AK673" s="1"/>
      <c r="AL673" s="1"/>
      <c r="AM673" s="1"/>
      <c r="AN673" s="1"/>
      <c r="AO673" s="1"/>
      <c r="AP673" s="1"/>
      <c r="AQ673" s="1"/>
      <c r="AR673" s="1"/>
      <c r="AS673" s="1"/>
      <c r="AT673" s="1"/>
      <c r="AU673" s="1"/>
      <c r="AV673" s="1"/>
      <c r="AW673" s="1"/>
      <c r="AX673" s="1"/>
      <c r="AY673" s="1"/>
    </row>
    <row r="674" spans="1:51" ht="24" customHeight="1">
      <c r="A674" s="199"/>
      <c r="B674" s="1277"/>
      <c r="C674" s="1277"/>
      <c r="D674" s="1277"/>
      <c r="E674" s="1277"/>
      <c r="F674" s="1277"/>
      <c r="G674" s="1277"/>
      <c r="H674" s="1277"/>
      <c r="I674" s="1277"/>
      <c r="J674" s="1277"/>
      <c r="K674" s="1277"/>
      <c r="L674" s="1277"/>
      <c r="M674" s="1277"/>
      <c r="N674" s="200"/>
      <c r="O674" s="199"/>
      <c r="P674" s="24"/>
      <c r="Q674" s="24"/>
      <c r="R674" s="398"/>
      <c r="S674" s="398"/>
      <c r="T674" s="398"/>
      <c r="U674" s="398"/>
      <c r="V674" s="398"/>
      <c r="W674" s="398"/>
      <c r="X674" s="398"/>
      <c r="Y674" s="398"/>
      <c r="Z674" s="398"/>
      <c r="AA674" s="398"/>
      <c r="AB674" s="200"/>
      <c r="AC674" s="1"/>
      <c r="AD674" s="1"/>
      <c r="AE674" s="1"/>
      <c r="AF674" s="1"/>
      <c r="AG674" s="1"/>
      <c r="AH674" s="1"/>
      <c r="AI674" s="1"/>
      <c r="AJ674" s="1"/>
      <c r="AK674" s="1"/>
      <c r="AL674" s="1"/>
      <c r="AM674" s="1"/>
      <c r="AN674" s="1"/>
      <c r="AO674" s="1"/>
      <c r="AP674" s="1"/>
      <c r="AQ674" s="1"/>
      <c r="AR674" s="1"/>
      <c r="AS674" s="1"/>
      <c r="AT674" s="1"/>
      <c r="AU674" s="1"/>
      <c r="AV674" s="1"/>
      <c r="AW674" s="1"/>
      <c r="AX674" s="1"/>
      <c r="AY674" s="1"/>
    </row>
    <row r="675" spans="1:51" ht="10.050000000000001" customHeight="1">
      <c r="A675" s="201"/>
      <c r="B675" s="202"/>
      <c r="C675" s="202"/>
      <c r="D675" s="202"/>
      <c r="E675" s="202"/>
      <c r="F675" s="202"/>
      <c r="G675" s="202"/>
      <c r="H675" s="202"/>
      <c r="I675" s="202"/>
      <c r="J675" s="202"/>
      <c r="K675" s="202"/>
      <c r="L675" s="202"/>
      <c r="M675" s="202"/>
      <c r="N675" s="200"/>
      <c r="O675" s="199"/>
      <c r="P675" s="202"/>
      <c r="Q675" s="202"/>
      <c r="R675" s="202"/>
      <c r="S675" s="202"/>
      <c r="T675" s="202"/>
      <c r="U675" s="202"/>
      <c r="V675" s="202"/>
      <c r="W675" s="202"/>
      <c r="X675" s="202"/>
      <c r="Y675" s="202"/>
      <c r="Z675" s="202"/>
      <c r="AA675" s="202"/>
      <c r="AB675" s="203"/>
      <c r="AC675" s="1"/>
      <c r="AD675" s="1"/>
      <c r="AE675" s="1"/>
      <c r="AF675" s="1"/>
      <c r="AG675" s="1"/>
      <c r="AH675" s="1"/>
      <c r="AI675" s="1"/>
      <c r="AJ675" s="1"/>
      <c r="AK675" s="1"/>
      <c r="AL675" s="1"/>
      <c r="AM675" s="1"/>
      <c r="AN675" s="1"/>
      <c r="AO675" s="1"/>
      <c r="AP675" s="1"/>
      <c r="AQ675" s="1"/>
      <c r="AR675" s="1"/>
      <c r="AS675" s="1"/>
      <c r="AT675" s="1"/>
      <c r="AU675" s="1"/>
      <c r="AV675" s="1"/>
      <c r="AW675" s="1"/>
      <c r="AX675" s="1"/>
      <c r="AY675" s="1"/>
    </row>
    <row r="676" spans="1:51" ht="30" customHeight="1">
      <c r="A676" s="210" t="s">
        <v>1148</v>
      </c>
      <c r="B676" s="1323" t="s">
        <v>2004</v>
      </c>
      <c r="C676" s="1323"/>
      <c r="D676" s="1323"/>
      <c r="E676" s="1323"/>
      <c r="F676" s="1323"/>
      <c r="G676" s="1323"/>
      <c r="H676" s="1323"/>
      <c r="I676" s="1323"/>
      <c r="J676" s="1323"/>
      <c r="K676" s="1323"/>
      <c r="L676" s="1323"/>
      <c r="M676" s="377"/>
      <c r="N676" s="211" t="s">
        <v>1149</v>
      </c>
      <c r="O676" s="205"/>
      <c r="P676" s="1292"/>
      <c r="Q676" s="1292"/>
      <c r="R676" s="1292"/>
      <c r="S676" s="1292"/>
      <c r="T676" s="1292"/>
      <c r="U676" s="1292"/>
      <c r="V676" s="1292"/>
      <c r="W676" s="206"/>
      <c r="X676" s="206"/>
      <c r="Y676" s="206"/>
      <c r="Z676" s="206"/>
      <c r="AA676" s="206"/>
      <c r="AB676" s="211" t="s">
        <v>1149</v>
      </c>
      <c r="AC676" s="577"/>
      <c r="AD676" s="577"/>
      <c r="AE676" s="577"/>
      <c r="AF676" s="577"/>
      <c r="AG676" s="577"/>
      <c r="AH676" s="577"/>
      <c r="AI676" s="577"/>
      <c r="AJ676" s="577"/>
      <c r="AK676" s="577"/>
      <c r="AL676" s="577"/>
      <c r="AM676" s="577"/>
      <c r="AN676" s="577"/>
      <c r="AO676" s="577"/>
      <c r="AP676" s="577"/>
      <c r="AQ676" s="577"/>
      <c r="AR676" s="577"/>
      <c r="AS676" s="577"/>
      <c r="AT676" s="577"/>
      <c r="AU676" s="577"/>
      <c r="AV676" s="577"/>
      <c r="AW676" s="577"/>
      <c r="AX676" s="577"/>
      <c r="AY676" s="577"/>
    </row>
    <row r="677" spans="1:51">
      <c r="A677" s="199"/>
      <c r="B677" s="24"/>
      <c r="C677" s="24"/>
      <c r="D677" s="24"/>
      <c r="E677" s="24"/>
      <c r="F677" s="24"/>
      <c r="G677" s="24"/>
      <c r="H677" s="24"/>
      <c r="I677" s="24"/>
      <c r="J677" s="24"/>
      <c r="K677" s="24"/>
      <c r="L677" s="24"/>
      <c r="M677" s="24"/>
      <c r="N677" s="200"/>
      <c r="O677" s="199"/>
      <c r="P677" s="24"/>
      <c r="Q677" s="24"/>
      <c r="R677" s="24"/>
      <c r="S677" s="24"/>
      <c r="T677" s="24"/>
      <c r="U677" s="24"/>
      <c r="V677" s="24"/>
      <c r="W677" s="24"/>
      <c r="X677" s="24"/>
      <c r="Y677" s="24"/>
      <c r="Z677" s="24"/>
      <c r="AA677" s="24"/>
      <c r="AB677" s="200"/>
      <c r="AC677" s="1"/>
      <c r="AD677" s="1"/>
      <c r="AE677" s="1"/>
      <c r="AF677" s="1"/>
      <c r="AG677" s="1"/>
      <c r="AH677" s="1"/>
      <c r="AI677" s="1"/>
      <c r="AJ677" s="1"/>
      <c r="AK677" s="1"/>
      <c r="AL677" s="1"/>
      <c r="AM677" s="1"/>
      <c r="AN677" s="1"/>
      <c r="AO677" s="1"/>
      <c r="AP677" s="1"/>
      <c r="AQ677" s="1"/>
      <c r="AR677" s="1"/>
      <c r="AS677" s="1"/>
      <c r="AT677" s="1"/>
      <c r="AU677" s="1"/>
      <c r="AV677" s="1"/>
      <c r="AW677" s="1"/>
      <c r="AX677" s="1"/>
      <c r="AY677" s="1"/>
    </row>
    <row r="678" spans="1:51" ht="19.95" customHeight="1">
      <c r="A678" s="199"/>
      <c r="B678" s="367" t="s">
        <v>1777</v>
      </c>
      <c r="C678" s="24"/>
      <c r="D678" s="24"/>
      <c r="E678" s="24"/>
      <c r="F678" s="24"/>
      <c r="G678" s="24"/>
      <c r="H678" s="24"/>
      <c r="I678" s="24"/>
      <c r="J678" s="24"/>
      <c r="K678" s="24"/>
      <c r="L678" s="24"/>
      <c r="M678" s="24"/>
      <c r="N678" s="200"/>
      <c r="O678" s="199"/>
      <c r="P678" s="24"/>
      <c r="Q678" s="24"/>
      <c r="R678" s="24"/>
      <c r="S678" s="24"/>
      <c r="T678" s="24"/>
      <c r="U678" s="24"/>
      <c r="V678" s="24"/>
      <c r="W678" s="24"/>
      <c r="X678" s="24"/>
      <c r="Y678" s="24"/>
      <c r="Z678" s="24"/>
      <c r="AA678" s="24"/>
      <c r="AB678" s="200"/>
      <c r="AC678" s="1"/>
      <c r="AD678" s="1"/>
      <c r="AE678" s="1"/>
      <c r="AF678" s="1"/>
      <c r="AG678" s="1"/>
      <c r="AH678" s="1"/>
      <c r="AI678" s="1"/>
      <c r="AJ678" s="1"/>
      <c r="AK678" s="1"/>
      <c r="AL678" s="1"/>
      <c r="AM678" s="1"/>
      <c r="AN678" s="1"/>
      <c r="AO678" s="1"/>
      <c r="AP678" s="1"/>
      <c r="AQ678" s="1"/>
      <c r="AR678" s="1"/>
      <c r="AS678" s="1"/>
      <c r="AT678" s="1"/>
      <c r="AU678" s="1"/>
      <c r="AV678" s="1"/>
      <c r="AW678" s="1"/>
      <c r="AX678" s="1"/>
      <c r="AY678" s="1"/>
    </row>
    <row r="679" spans="1:51" ht="10.050000000000001" customHeight="1" thickBot="1">
      <c r="A679" s="199"/>
      <c r="B679" s="24"/>
      <c r="C679" s="24"/>
      <c r="D679" s="24"/>
      <c r="E679" s="24"/>
      <c r="F679" s="24"/>
      <c r="G679" s="24"/>
      <c r="H679" s="24"/>
      <c r="I679" s="24"/>
      <c r="J679" s="24"/>
      <c r="K679" s="24"/>
      <c r="L679" s="24"/>
      <c r="M679" s="24"/>
      <c r="N679" s="200"/>
      <c r="O679" s="199"/>
      <c r="P679" s="24"/>
      <c r="Q679" s="24"/>
      <c r="R679" s="24"/>
      <c r="S679" s="24"/>
      <c r="T679" s="24"/>
      <c r="U679" s="24"/>
      <c r="V679" s="24"/>
      <c r="W679" s="24"/>
      <c r="X679" s="24"/>
      <c r="Y679" s="24"/>
      <c r="Z679" s="24"/>
      <c r="AA679" s="24"/>
      <c r="AB679" s="200"/>
      <c r="AC679" s="1"/>
      <c r="AD679" s="1"/>
      <c r="AE679" s="1"/>
      <c r="AF679" s="1"/>
      <c r="AG679" s="1"/>
      <c r="AH679" s="1"/>
      <c r="AI679" s="1"/>
      <c r="AJ679" s="1"/>
      <c r="AK679" s="1"/>
      <c r="AL679" s="1"/>
      <c r="AM679" s="1"/>
      <c r="AN679" s="1"/>
      <c r="AO679" s="1"/>
      <c r="AP679" s="1"/>
      <c r="AQ679" s="1"/>
      <c r="AR679" s="1"/>
      <c r="AS679" s="1"/>
      <c r="AT679" s="1"/>
      <c r="AU679" s="1"/>
      <c r="AV679" s="1"/>
      <c r="AW679" s="1"/>
      <c r="AX679" s="1"/>
      <c r="AY679" s="1"/>
    </row>
    <row r="680" spans="1:51" ht="19.95" customHeight="1">
      <c r="A680" s="199"/>
      <c r="B680" s="506"/>
      <c r="C680" s="507"/>
      <c r="D680" s="1313" t="s">
        <v>1778</v>
      </c>
      <c r="E680" s="1314"/>
      <c r="F680" s="1314"/>
      <c r="G680" s="1315"/>
      <c r="H680" s="506"/>
      <c r="I680" s="507"/>
      <c r="J680" s="1313" t="s">
        <v>2005</v>
      </c>
      <c r="K680" s="1314"/>
      <c r="L680" s="1314"/>
      <c r="M680" s="1315"/>
      <c r="N680" s="200"/>
      <c r="O680" s="199"/>
      <c r="P680" s="24"/>
      <c r="Q680" s="24"/>
      <c r="R680" s="24"/>
      <c r="S680" s="24"/>
      <c r="T680" s="24"/>
      <c r="U680" s="24"/>
      <c r="V680" s="24"/>
      <c r="W680" s="24"/>
      <c r="X680" s="24"/>
      <c r="Y680" s="24"/>
      <c r="Z680" s="24"/>
      <c r="AA680" s="24"/>
      <c r="AB680" s="200"/>
      <c r="AC680" s="1"/>
      <c r="AD680" s="1"/>
      <c r="AE680" s="1"/>
      <c r="AF680" s="1"/>
      <c r="AG680" s="1"/>
      <c r="AH680" s="1"/>
      <c r="AI680" s="1"/>
      <c r="AJ680" s="1"/>
      <c r="AK680" s="1"/>
      <c r="AL680" s="1"/>
      <c r="AM680" s="1"/>
      <c r="AN680" s="1"/>
      <c r="AO680" s="1"/>
      <c r="AP680" s="1"/>
      <c r="AQ680" s="1"/>
      <c r="AR680" s="1"/>
      <c r="AS680" s="1"/>
      <c r="AT680" s="1"/>
      <c r="AU680" s="1"/>
      <c r="AV680" s="1"/>
      <c r="AW680" s="1"/>
      <c r="AX680" s="1"/>
      <c r="AY680" s="1"/>
    </row>
    <row r="681" spans="1:51" ht="19.95" customHeight="1">
      <c r="A681" s="199"/>
      <c r="B681" s="508"/>
      <c r="C681" s="495"/>
      <c r="D681" s="1316"/>
      <c r="E681" s="1317"/>
      <c r="F681" s="1317"/>
      <c r="G681" s="1318"/>
      <c r="H681" s="508"/>
      <c r="I681" s="495"/>
      <c r="J681" s="1316"/>
      <c r="K681" s="1317"/>
      <c r="L681" s="1317"/>
      <c r="M681" s="1318"/>
      <c r="N681" s="200"/>
      <c r="O681" s="199"/>
      <c r="P681" s="24"/>
      <c r="Q681" s="24"/>
      <c r="R681" s="24"/>
      <c r="S681" s="24"/>
      <c r="T681" s="24"/>
      <c r="U681" s="24"/>
      <c r="V681" s="24"/>
      <c r="W681" s="24"/>
      <c r="X681" s="24"/>
      <c r="Y681" s="24"/>
      <c r="Z681" s="24"/>
      <c r="AA681" s="24"/>
      <c r="AB681" s="200"/>
      <c r="AC681" s="1"/>
      <c r="AD681" s="1"/>
      <c r="AE681" s="1"/>
      <c r="AF681" s="1"/>
      <c r="AG681" s="1"/>
      <c r="AH681" s="1"/>
      <c r="AI681" s="1"/>
      <c r="AJ681" s="1"/>
      <c r="AK681" s="1"/>
      <c r="AL681" s="1"/>
      <c r="AM681" s="1"/>
      <c r="AN681" s="1"/>
      <c r="AO681" s="1"/>
      <c r="AP681" s="1"/>
      <c r="AQ681" s="1"/>
      <c r="AR681" s="1"/>
      <c r="AS681" s="1"/>
      <c r="AT681" s="1"/>
      <c r="AU681" s="1"/>
      <c r="AV681" s="1"/>
      <c r="AW681" s="1"/>
      <c r="AX681" s="1"/>
      <c r="AY681" s="1"/>
    </row>
    <row r="682" spans="1:51" ht="19.95" customHeight="1">
      <c r="A682" s="199"/>
      <c r="B682" s="508"/>
      <c r="C682" s="495"/>
      <c r="D682" s="1316"/>
      <c r="E682" s="1317"/>
      <c r="F682" s="1317"/>
      <c r="G682" s="1318"/>
      <c r="H682" s="508"/>
      <c r="I682" s="495"/>
      <c r="J682" s="1316"/>
      <c r="K682" s="1317"/>
      <c r="L682" s="1317"/>
      <c r="M682" s="1318"/>
      <c r="N682" s="200"/>
      <c r="O682" s="199"/>
      <c r="P682" s="24"/>
      <c r="Q682" s="24"/>
      <c r="R682" s="24"/>
      <c r="S682" s="24"/>
      <c r="T682" s="24"/>
      <c r="U682" s="24"/>
      <c r="V682" s="24"/>
      <c r="W682" s="24"/>
      <c r="X682" s="24"/>
      <c r="Y682" s="24"/>
      <c r="Z682" s="24"/>
      <c r="AA682" s="24"/>
      <c r="AB682" s="200"/>
      <c r="AC682" s="1"/>
      <c r="AD682" s="1"/>
      <c r="AE682" s="1"/>
      <c r="AF682" s="1"/>
      <c r="AG682" s="1"/>
      <c r="AH682" s="1"/>
      <c r="AI682" s="1"/>
      <c r="AJ682" s="1"/>
      <c r="AK682" s="1"/>
      <c r="AL682" s="1"/>
      <c r="AM682" s="1"/>
      <c r="AN682" s="1"/>
      <c r="AO682" s="1"/>
      <c r="AP682" s="1"/>
      <c r="AQ682" s="1"/>
      <c r="AR682" s="1"/>
      <c r="AS682" s="1"/>
      <c r="AT682" s="1"/>
      <c r="AU682" s="1"/>
      <c r="AV682" s="1"/>
      <c r="AW682" s="1"/>
      <c r="AX682" s="1"/>
      <c r="AY682" s="1"/>
    </row>
    <row r="683" spans="1:51" ht="19.95" customHeight="1" thickBot="1">
      <c r="A683" s="199"/>
      <c r="B683" s="509"/>
      <c r="C683" s="510"/>
      <c r="D683" s="1319"/>
      <c r="E683" s="1320"/>
      <c r="F683" s="1320"/>
      <c r="G683" s="1321"/>
      <c r="H683" s="509"/>
      <c r="I683" s="510"/>
      <c r="J683" s="1319"/>
      <c r="K683" s="1320"/>
      <c r="L683" s="1320"/>
      <c r="M683" s="1321"/>
      <c r="N683" s="200"/>
      <c r="O683" s="199"/>
      <c r="P683" s="24"/>
      <c r="Q683" s="24"/>
      <c r="R683" s="24"/>
      <c r="S683" s="24"/>
      <c r="T683" s="24"/>
      <c r="U683" s="24"/>
      <c r="V683" s="24"/>
      <c r="W683" s="24"/>
      <c r="X683" s="24"/>
      <c r="Y683" s="24"/>
      <c r="Z683" s="24"/>
      <c r="AA683" s="24"/>
      <c r="AB683" s="200"/>
      <c r="AC683" s="1"/>
      <c r="AD683" s="1"/>
      <c r="AE683" s="1"/>
      <c r="AF683" s="1"/>
      <c r="AG683" s="1"/>
      <c r="AH683" s="1"/>
      <c r="AI683" s="1"/>
      <c r="AJ683" s="1"/>
      <c r="AK683" s="1"/>
      <c r="AL683" s="1"/>
      <c r="AM683" s="1"/>
      <c r="AN683" s="1"/>
      <c r="AO683" s="1"/>
      <c r="AP683" s="1"/>
      <c r="AQ683" s="1"/>
      <c r="AR683" s="1"/>
      <c r="AS683" s="1"/>
      <c r="AT683" s="1"/>
      <c r="AU683" s="1"/>
      <c r="AV683" s="1"/>
      <c r="AW683" s="1"/>
      <c r="AX683" s="1"/>
      <c r="AY683" s="1"/>
    </row>
    <row r="684" spans="1:51" ht="10.050000000000001" customHeight="1" thickBot="1">
      <c r="A684" s="199"/>
      <c r="B684" s="24"/>
      <c r="C684" s="24"/>
      <c r="D684" s="24"/>
      <c r="E684" s="24"/>
      <c r="F684" s="24"/>
      <c r="G684" s="24"/>
      <c r="H684" s="24"/>
      <c r="I684" s="24"/>
      <c r="J684" s="24"/>
      <c r="K684" s="24"/>
      <c r="L684" s="24"/>
      <c r="M684" s="24"/>
      <c r="N684" s="200"/>
      <c r="O684" s="199"/>
      <c r="P684" s="24"/>
      <c r="Q684" s="24"/>
      <c r="R684" s="24"/>
      <c r="S684" s="24"/>
      <c r="T684" s="24"/>
      <c r="U684" s="24"/>
      <c r="V684" s="24"/>
      <c r="W684" s="24"/>
      <c r="X684" s="24"/>
      <c r="Y684" s="24"/>
      <c r="Z684" s="24"/>
      <c r="AA684" s="24"/>
      <c r="AB684" s="200"/>
      <c r="AC684" s="1"/>
      <c r="AD684" s="1"/>
      <c r="AE684" s="1"/>
      <c r="AF684" s="1"/>
      <c r="AG684" s="1"/>
      <c r="AH684" s="1"/>
      <c r="AI684" s="1"/>
      <c r="AJ684" s="1"/>
      <c r="AK684" s="1"/>
      <c r="AL684" s="1"/>
      <c r="AM684" s="1"/>
      <c r="AN684" s="1"/>
      <c r="AO684" s="1"/>
      <c r="AP684" s="1"/>
      <c r="AQ684" s="1"/>
      <c r="AR684" s="1"/>
      <c r="AS684" s="1"/>
      <c r="AT684" s="1"/>
      <c r="AU684" s="1"/>
      <c r="AV684" s="1"/>
      <c r="AW684" s="1"/>
      <c r="AX684" s="1"/>
      <c r="AY684" s="1"/>
    </row>
    <row r="685" spans="1:51" ht="19.95" customHeight="1">
      <c r="A685" s="199"/>
      <c r="B685" s="506"/>
      <c r="C685" s="507"/>
      <c r="D685" s="1313" t="s">
        <v>1785</v>
      </c>
      <c r="E685" s="1314"/>
      <c r="F685" s="1314"/>
      <c r="G685" s="1315"/>
      <c r="H685" s="506"/>
      <c r="I685" s="507"/>
      <c r="J685" s="1313" t="s">
        <v>1780</v>
      </c>
      <c r="K685" s="1314"/>
      <c r="L685" s="1314"/>
      <c r="M685" s="1315"/>
      <c r="N685" s="200"/>
      <c r="O685" s="199"/>
      <c r="P685" s="24"/>
      <c r="Q685" s="24"/>
      <c r="R685" s="24"/>
      <c r="S685" s="24"/>
      <c r="T685" s="24"/>
      <c r="U685" s="24"/>
      <c r="V685" s="24"/>
      <c r="W685" s="24"/>
      <c r="X685" s="24"/>
      <c r="Y685" s="24"/>
      <c r="Z685" s="24"/>
      <c r="AA685" s="24"/>
      <c r="AB685" s="200"/>
      <c r="AC685" s="1"/>
      <c r="AD685" s="1"/>
      <c r="AE685" s="1"/>
      <c r="AF685" s="1"/>
      <c r="AG685" s="1"/>
      <c r="AH685" s="1"/>
      <c r="AI685" s="1"/>
      <c r="AJ685" s="1"/>
      <c r="AK685" s="1"/>
      <c r="AL685" s="1"/>
      <c r="AM685" s="1"/>
      <c r="AN685" s="1"/>
      <c r="AO685" s="1"/>
      <c r="AP685" s="1"/>
      <c r="AQ685" s="1"/>
      <c r="AR685" s="1"/>
      <c r="AS685" s="1"/>
      <c r="AT685" s="1"/>
      <c r="AU685" s="1"/>
      <c r="AV685" s="1"/>
      <c r="AW685" s="1"/>
      <c r="AX685" s="1"/>
      <c r="AY685" s="1"/>
    </row>
    <row r="686" spans="1:51" ht="19.95" customHeight="1">
      <c r="A686" s="199"/>
      <c r="B686" s="508"/>
      <c r="C686" s="495"/>
      <c r="D686" s="1316"/>
      <c r="E686" s="1317"/>
      <c r="F686" s="1317"/>
      <c r="G686" s="1318"/>
      <c r="H686" s="508"/>
      <c r="I686" s="495"/>
      <c r="J686" s="1316"/>
      <c r="K686" s="1317"/>
      <c r="L686" s="1317"/>
      <c r="M686" s="1318"/>
      <c r="N686" s="200"/>
      <c r="O686" s="199"/>
      <c r="P686" s="24"/>
      <c r="Q686" s="24"/>
      <c r="R686" s="24"/>
      <c r="S686" s="24"/>
      <c r="T686" s="24"/>
      <c r="U686" s="24"/>
      <c r="V686" s="24"/>
      <c r="W686" s="24"/>
      <c r="X686" s="24"/>
      <c r="Y686" s="24"/>
      <c r="Z686" s="24"/>
      <c r="AA686" s="24"/>
      <c r="AB686" s="200"/>
      <c r="AC686" s="1"/>
      <c r="AD686" s="1"/>
      <c r="AE686" s="1"/>
      <c r="AF686" s="1"/>
      <c r="AG686" s="1"/>
      <c r="AH686" s="1"/>
      <c r="AI686" s="1"/>
      <c r="AJ686" s="1"/>
      <c r="AK686" s="1"/>
      <c r="AL686" s="1"/>
      <c r="AM686" s="1"/>
      <c r="AN686" s="1"/>
      <c r="AO686" s="1"/>
      <c r="AP686" s="1"/>
      <c r="AQ686" s="1"/>
      <c r="AR686" s="1"/>
      <c r="AS686" s="1"/>
      <c r="AT686" s="1"/>
      <c r="AU686" s="1"/>
      <c r="AV686" s="1"/>
      <c r="AW686" s="1"/>
      <c r="AX686" s="1"/>
      <c r="AY686" s="1"/>
    </row>
    <row r="687" spans="1:51" ht="19.95" customHeight="1">
      <c r="A687" s="199"/>
      <c r="B687" s="508"/>
      <c r="C687" s="495"/>
      <c r="D687" s="1316"/>
      <c r="E687" s="1317"/>
      <c r="F687" s="1317"/>
      <c r="G687" s="1318"/>
      <c r="H687" s="508"/>
      <c r="I687" s="495"/>
      <c r="J687" s="1316"/>
      <c r="K687" s="1317"/>
      <c r="L687" s="1317"/>
      <c r="M687" s="1318"/>
      <c r="N687" s="200"/>
      <c r="O687" s="199"/>
      <c r="P687" s="24"/>
      <c r="Q687" s="24"/>
      <c r="R687" s="24"/>
      <c r="S687" s="24"/>
      <c r="T687" s="24"/>
      <c r="U687" s="24"/>
      <c r="V687" s="24"/>
      <c r="W687" s="24"/>
      <c r="X687" s="24"/>
      <c r="Y687" s="24"/>
      <c r="Z687" s="24"/>
      <c r="AA687" s="24"/>
      <c r="AB687" s="200"/>
      <c r="AC687" s="1"/>
      <c r="AD687" s="1"/>
      <c r="AE687" s="1"/>
      <c r="AF687" s="1"/>
      <c r="AG687" s="1"/>
      <c r="AH687" s="1"/>
      <c r="AI687" s="1"/>
      <c r="AJ687" s="1"/>
      <c r="AK687" s="1"/>
      <c r="AL687" s="1"/>
      <c r="AM687" s="1"/>
      <c r="AN687" s="1"/>
      <c r="AO687" s="1"/>
      <c r="AP687" s="1"/>
      <c r="AQ687" s="1"/>
      <c r="AR687" s="1"/>
      <c r="AS687" s="1"/>
      <c r="AT687" s="1"/>
      <c r="AU687" s="1"/>
      <c r="AV687" s="1"/>
      <c r="AW687" s="1"/>
      <c r="AX687" s="1"/>
      <c r="AY687" s="1"/>
    </row>
    <row r="688" spans="1:51" ht="19.95" customHeight="1" thickBot="1">
      <c r="A688" s="199"/>
      <c r="B688" s="509"/>
      <c r="C688" s="510"/>
      <c r="D688" s="1319"/>
      <c r="E688" s="1320"/>
      <c r="F688" s="1320"/>
      <c r="G688" s="1321"/>
      <c r="H688" s="509"/>
      <c r="I688" s="510"/>
      <c r="J688" s="1319"/>
      <c r="K688" s="1320"/>
      <c r="L688" s="1320"/>
      <c r="M688" s="1321"/>
      <c r="N688" s="200"/>
      <c r="O688" s="199"/>
      <c r="P688" s="24"/>
      <c r="Q688" s="24"/>
      <c r="R688" s="24"/>
      <c r="S688" s="24"/>
      <c r="T688" s="24"/>
      <c r="U688" s="24"/>
      <c r="V688" s="24"/>
      <c r="W688" s="24"/>
      <c r="X688" s="24"/>
      <c r="Y688" s="24"/>
      <c r="Z688" s="24"/>
      <c r="AA688" s="24"/>
      <c r="AB688" s="200"/>
      <c r="AC688" s="1"/>
      <c r="AD688" s="1"/>
      <c r="AE688" s="1"/>
      <c r="AF688" s="1"/>
      <c r="AG688" s="1"/>
      <c r="AH688" s="1"/>
      <c r="AI688" s="1"/>
      <c r="AJ688" s="1"/>
      <c r="AK688" s="1"/>
      <c r="AL688" s="1"/>
      <c r="AM688" s="1"/>
      <c r="AN688" s="1"/>
      <c r="AO688" s="1"/>
      <c r="AP688" s="1"/>
      <c r="AQ688" s="1"/>
      <c r="AR688" s="1"/>
      <c r="AS688" s="1"/>
      <c r="AT688" s="1"/>
      <c r="AU688" s="1"/>
      <c r="AV688" s="1"/>
      <c r="AW688" s="1"/>
      <c r="AX688" s="1"/>
      <c r="AY688" s="1"/>
    </row>
    <row r="689" spans="1:51" ht="10.050000000000001" customHeight="1" thickBot="1">
      <c r="A689" s="199"/>
      <c r="B689" s="24"/>
      <c r="C689" s="24"/>
      <c r="D689" s="24"/>
      <c r="E689" s="24"/>
      <c r="F689" s="24"/>
      <c r="G689" s="24"/>
      <c r="H689" s="24"/>
      <c r="I689" s="24"/>
      <c r="J689" s="24"/>
      <c r="K689" s="24"/>
      <c r="L689" s="24"/>
      <c r="M689" s="24"/>
      <c r="N689" s="200"/>
      <c r="O689" s="199"/>
      <c r="P689" s="24"/>
      <c r="Q689" s="24"/>
      <c r="R689" s="24"/>
      <c r="S689" s="24"/>
      <c r="T689" s="24"/>
      <c r="U689" s="24"/>
      <c r="V689" s="24"/>
      <c r="W689" s="24"/>
      <c r="X689" s="24"/>
      <c r="Y689" s="24"/>
      <c r="Z689" s="24"/>
      <c r="AA689" s="24"/>
      <c r="AB689" s="200"/>
      <c r="AC689" s="1"/>
      <c r="AD689" s="1"/>
      <c r="AE689" s="1"/>
      <c r="AF689" s="1"/>
      <c r="AG689" s="1"/>
      <c r="AH689" s="1"/>
      <c r="AI689" s="1"/>
      <c r="AJ689" s="1"/>
      <c r="AK689" s="1"/>
      <c r="AL689" s="1"/>
      <c r="AM689" s="1"/>
      <c r="AN689" s="1"/>
      <c r="AO689" s="1"/>
      <c r="AP689" s="1"/>
      <c r="AQ689" s="1"/>
      <c r="AR689" s="1"/>
      <c r="AS689" s="1"/>
      <c r="AT689" s="1"/>
      <c r="AU689" s="1"/>
      <c r="AV689" s="1"/>
      <c r="AW689" s="1"/>
      <c r="AX689" s="1"/>
      <c r="AY689" s="1"/>
    </row>
    <row r="690" spans="1:51" ht="19.95" customHeight="1">
      <c r="A690" s="199"/>
      <c r="B690" s="506"/>
      <c r="C690" s="507"/>
      <c r="D690" s="1313" t="s">
        <v>1779</v>
      </c>
      <c r="E690" s="1314"/>
      <c r="F690" s="1314"/>
      <c r="G690" s="1315"/>
      <c r="H690" s="506"/>
      <c r="I690" s="507"/>
      <c r="J690" s="1313" t="s">
        <v>1781</v>
      </c>
      <c r="K690" s="1314"/>
      <c r="L690" s="1314"/>
      <c r="M690" s="1315"/>
      <c r="N690" s="200"/>
      <c r="O690" s="199"/>
      <c r="P690" s="24"/>
      <c r="Q690" s="24"/>
      <c r="R690" s="24"/>
      <c r="S690" s="24"/>
      <c r="T690" s="24"/>
      <c r="U690" s="24"/>
      <c r="V690" s="24"/>
      <c r="W690" s="24"/>
      <c r="X690" s="24"/>
      <c r="Y690" s="24"/>
      <c r="Z690" s="24"/>
      <c r="AA690" s="24"/>
      <c r="AB690" s="200"/>
      <c r="AC690" s="1"/>
      <c r="AD690" s="1"/>
      <c r="AE690" s="1"/>
      <c r="AF690" s="1"/>
      <c r="AG690" s="1"/>
      <c r="AH690" s="1"/>
      <c r="AI690" s="1"/>
      <c r="AJ690" s="1"/>
      <c r="AK690" s="1"/>
      <c r="AL690" s="1"/>
      <c r="AM690" s="1"/>
      <c r="AN690" s="1"/>
      <c r="AO690" s="1"/>
      <c r="AP690" s="1"/>
      <c r="AQ690" s="1"/>
      <c r="AR690" s="1"/>
      <c r="AS690" s="1"/>
      <c r="AT690" s="1"/>
      <c r="AU690" s="1"/>
      <c r="AV690" s="1"/>
      <c r="AW690" s="1"/>
      <c r="AX690" s="1"/>
      <c r="AY690" s="1"/>
    </row>
    <row r="691" spans="1:51" ht="19.95" customHeight="1">
      <c r="A691" s="199"/>
      <c r="B691" s="508"/>
      <c r="C691" s="495"/>
      <c r="D691" s="1316"/>
      <c r="E691" s="1317"/>
      <c r="F691" s="1317"/>
      <c r="G691" s="1318"/>
      <c r="H691" s="508"/>
      <c r="I691" s="495"/>
      <c r="J691" s="1316"/>
      <c r="K691" s="1317"/>
      <c r="L691" s="1317"/>
      <c r="M691" s="1318"/>
      <c r="N691" s="200"/>
      <c r="O691" s="199"/>
      <c r="P691" s="24"/>
      <c r="Q691" s="24"/>
      <c r="R691" s="24"/>
      <c r="S691" s="24"/>
      <c r="T691" s="24"/>
      <c r="U691" s="24"/>
      <c r="V691" s="24"/>
      <c r="W691" s="24"/>
      <c r="X691" s="24"/>
      <c r="Y691" s="24"/>
      <c r="Z691" s="24"/>
      <c r="AA691" s="24"/>
      <c r="AB691" s="200"/>
      <c r="AC691" s="1"/>
      <c r="AD691" s="1"/>
      <c r="AE691" s="1"/>
      <c r="AF691" s="1"/>
      <c r="AG691" s="1"/>
      <c r="AH691" s="1"/>
      <c r="AI691" s="1"/>
      <c r="AJ691" s="1"/>
      <c r="AK691" s="1"/>
      <c r="AL691" s="1"/>
      <c r="AM691" s="1"/>
      <c r="AN691" s="1"/>
      <c r="AO691" s="1"/>
      <c r="AP691" s="1"/>
      <c r="AQ691" s="1"/>
      <c r="AR691" s="1"/>
      <c r="AS691" s="1"/>
      <c r="AT691" s="1"/>
      <c r="AU691" s="1"/>
      <c r="AV691" s="1"/>
      <c r="AW691" s="1"/>
      <c r="AX691" s="1"/>
      <c r="AY691" s="1"/>
    </row>
    <row r="692" spans="1:51" ht="19.95" customHeight="1">
      <c r="A692" s="199"/>
      <c r="B692" s="508"/>
      <c r="C692" s="495"/>
      <c r="D692" s="1316"/>
      <c r="E692" s="1317"/>
      <c r="F692" s="1317"/>
      <c r="G692" s="1318"/>
      <c r="H692" s="508"/>
      <c r="I692" s="495"/>
      <c r="J692" s="1316"/>
      <c r="K692" s="1317"/>
      <c r="L692" s="1317"/>
      <c r="M692" s="1318"/>
      <c r="N692" s="200"/>
      <c r="O692" s="199"/>
      <c r="P692" s="24"/>
      <c r="Q692" s="24"/>
      <c r="R692" s="24"/>
      <c r="S692" s="24"/>
      <c r="T692" s="24"/>
      <c r="U692" s="24"/>
      <c r="V692" s="24"/>
      <c r="W692" s="24"/>
      <c r="X692" s="24"/>
      <c r="Y692" s="24"/>
      <c r="Z692" s="24"/>
      <c r="AA692" s="24"/>
      <c r="AB692" s="200"/>
      <c r="AC692" s="1"/>
      <c r="AD692" s="1"/>
      <c r="AE692" s="1"/>
      <c r="AF692" s="1"/>
      <c r="AG692" s="1"/>
      <c r="AH692" s="1"/>
      <c r="AI692" s="1"/>
      <c r="AJ692" s="1"/>
      <c r="AK692" s="1"/>
      <c r="AL692" s="1"/>
      <c r="AM692" s="1"/>
      <c r="AN692" s="1"/>
      <c r="AO692" s="1"/>
      <c r="AP692" s="1"/>
      <c r="AQ692" s="1"/>
      <c r="AR692" s="1"/>
      <c r="AS692" s="1"/>
      <c r="AT692" s="1"/>
      <c r="AU692" s="1"/>
      <c r="AV692" s="1"/>
      <c r="AW692" s="1"/>
      <c r="AX692" s="1"/>
      <c r="AY692" s="1"/>
    </row>
    <row r="693" spans="1:51" ht="19.95" customHeight="1" thickBot="1">
      <c r="A693" s="199"/>
      <c r="B693" s="509"/>
      <c r="C693" s="510"/>
      <c r="D693" s="1319"/>
      <c r="E693" s="1320"/>
      <c r="F693" s="1320"/>
      <c r="G693" s="1321"/>
      <c r="H693" s="509"/>
      <c r="I693" s="510"/>
      <c r="J693" s="1319"/>
      <c r="K693" s="1320"/>
      <c r="L693" s="1320"/>
      <c r="M693" s="1321"/>
      <c r="N693" s="200"/>
      <c r="O693" s="199"/>
      <c r="P693" s="24"/>
      <c r="Q693" s="24"/>
      <c r="R693" s="24"/>
      <c r="S693" s="24"/>
      <c r="T693" s="24"/>
      <c r="U693" s="24"/>
      <c r="V693" s="24"/>
      <c r="W693" s="24"/>
      <c r="X693" s="24"/>
      <c r="Y693" s="24"/>
      <c r="Z693" s="24"/>
      <c r="AA693" s="24"/>
      <c r="AB693" s="200"/>
      <c r="AC693" s="1"/>
      <c r="AD693" s="1"/>
      <c r="AE693" s="1"/>
      <c r="AF693" s="1"/>
      <c r="AG693" s="1"/>
      <c r="AH693" s="1"/>
      <c r="AI693" s="1"/>
      <c r="AJ693" s="1"/>
      <c r="AK693" s="1"/>
      <c r="AL693" s="1"/>
      <c r="AM693" s="1"/>
      <c r="AN693" s="1"/>
      <c r="AO693" s="1"/>
      <c r="AP693" s="1"/>
      <c r="AQ693" s="1"/>
      <c r="AR693" s="1"/>
      <c r="AS693" s="1"/>
      <c r="AT693" s="1"/>
      <c r="AU693" s="1"/>
      <c r="AV693" s="1"/>
      <c r="AW693" s="1"/>
      <c r="AX693" s="1"/>
      <c r="AY693" s="1"/>
    </row>
    <row r="694" spans="1:51" ht="10.050000000000001" customHeight="1">
      <c r="A694" s="199"/>
      <c r="B694" s="24"/>
      <c r="C694" s="24"/>
      <c r="D694" s="24"/>
      <c r="E694" s="24"/>
      <c r="F694" s="24"/>
      <c r="G694" s="24"/>
      <c r="H694" s="24"/>
      <c r="I694" s="24"/>
      <c r="J694" s="24"/>
      <c r="K694" s="24"/>
      <c r="L694" s="24"/>
      <c r="M694" s="24"/>
      <c r="N694" s="200"/>
      <c r="O694" s="199"/>
      <c r="P694" s="24"/>
      <c r="Q694" s="24"/>
      <c r="R694" s="24"/>
      <c r="S694" s="24"/>
      <c r="T694" s="24"/>
      <c r="U694" s="24"/>
      <c r="V694" s="24"/>
      <c r="W694" s="24"/>
      <c r="X694" s="24"/>
      <c r="Y694" s="24"/>
      <c r="Z694" s="24"/>
      <c r="AA694" s="24"/>
      <c r="AB694" s="200"/>
      <c r="AC694" s="1"/>
      <c r="AD694" s="1"/>
      <c r="AE694" s="1"/>
      <c r="AF694" s="1"/>
      <c r="AG694" s="1"/>
      <c r="AH694" s="1"/>
      <c r="AI694" s="1"/>
      <c r="AJ694" s="1"/>
      <c r="AK694" s="1"/>
      <c r="AL694" s="1"/>
      <c r="AM694" s="1"/>
      <c r="AN694" s="1"/>
      <c r="AO694" s="1"/>
      <c r="AP694" s="1"/>
      <c r="AQ694" s="1"/>
      <c r="AR694" s="1"/>
      <c r="AS694" s="1"/>
      <c r="AT694" s="1"/>
      <c r="AU694" s="1"/>
      <c r="AV694" s="1"/>
      <c r="AW694" s="1"/>
      <c r="AX694" s="1"/>
      <c r="AY694" s="1"/>
    </row>
    <row r="695" spans="1:51" ht="19.95" customHeight="1">
      <c r="A695" s="199"/>
      <c r="B695" s="24"/>
      <c r="C695" s="24"/>
      <c r="D695" s="24"/>
      <c r="E695" s="367"/>
      <c r="F695" s="367"/>
      <c r="G695" s="24"/>
      <c r="H695" s="24"/>
      <c r="I695" s="24"/>
      <c r="J695" s="24"/>
      <c r="K695" s="24"/>
      <c r="L695" s="24"/>
      <c r="M695" s="24"/>
      <c r="N695" s="200"/>
      <c r="O695" s="199"/>
      <c r="P695" s="24"/>
      <c r="Q695" s="24"/>
      <c r="R695" s="24"/>
      <c r="S695" s="24"/>
      <c r="T695" s="24"/>
      <c r="U695" s="24"/>
      <c r="V695" s="24"/>
      <c r="W695" s="24"/>
      <c r="X695" s="24"/>
      <c r="Y695" s="24"/>
      <c r="Z695" s="24"/>
      <c r="AA695" s="24"/>
      <c r="AB695" s="200"/>
      <c r="AC695" s="1"/>
      <c r="AD695" s="1"/>
      <c r="AE695" s="1"/>
      <c r="AF695" s="1"/>
      <c r="AG695" s="1"/>
      <c r="AH695" s="1"/>
      <c r="AI695" s="1"/>
      <c r="AJ695" s="1"/>
      <c r="AK695" s="1"/>
      <c r="AL695" s="1"/>
      <c r="AM695" s="1"/>
      <c r="AN695" s="1"/>
      <c r="AO695" s="1"/>
      <c r="AP695" s="1"/>
      <c r="AQ695" s="1"/>
      <c r="AR695" s="1"/>
      <c r="AS695" s="1"/>
      <c r="AT695" s="1"/>
      <c r="AU695" s="1"/>
      <c r="AV695" s="1"/>
      <c r="AW695" s="1"/>
      <c r="AX695" s="1"/>
      <c r="AY695" s="1"/>
    </row>
    <row r="696" spans="1:51" ht="19.95" customHeight="1">
      <c r="A696" s="199"/>
      <c r="B696" s="24"/>
      <c r="C696" s="24"/>
      <c r="D696" s="24"/>
      <c r="E696" s="376"/>
      <c r="F696" s="376"/>
      <c r="G696" s="24"/>
      <c r="H696" s="24"/>
      <c r="I696" s="24"/>
      <c r="J696" s="24"/>
      <c r="K696" s="24"/>
      <c r="L696" s="24"/>
      <c r="M696" s="24"/>
      <c r="N696" s="200"/>
      <c r="O696" s="199"/>
      <c r="P696" s="111"/>
      <c r="Q696" s="24"/>
      <c r="R696" s="24"/>
      <c r="S696" s="24"/>
      <c r="T696" s="24"/>
      <c r="U696" s="24"/>
      <c r="V696" s="24"/>
      <c r="W696" s="24"/>
      <c r="X696" s="24"/>
      <c r="Y696" s="24"/>
      <c r="Z696" s="24"/>
      <c r="AA696" s="24"/>
      <c r="AB696" s="200"/>
      <c r="AC696" s="1"/>
      <c r="AD696" s="1"/>
      <c r="AE696" s="1"/>
      <c r="AF696" s="1"/>
      <c r="AG696" s="1"/>
      <c r="AH696" s="1"/>
      <c r="AI696" s="1"/>
      <c r="AJ696" s="1"/>
      <c r="AK696" s="1"/>
      <c r="AL696" s="1"/>
      <c r="AM696" s="1"/>
      <c r="AN696" s="1"/>
      <c r="AO696" s="1"/>
      <c r="AP696" s="1"/>
      <c r="AQ696" s="1"/>
      <c r="AR696" s="1"/>
      <c r="AS696" s="1"/>
      <c r="AT696" s="1"/>
      <c r="AU696" s="1"/>
      <c r="AV696" s="1"/>
      <c r="AW696" s="1"/>
      <c r="AX696" s="1"/>
      <c r="AY696" s="1"/>
    </row>
    <row r="697" spans="1:51" ht="19.95" customHeight="1">
      <c r="A697" s="199"/>
      <c r="B697" s="24"/>
      <c r="C697" s="24"/>
      <c r="D697" s="24"/>
      <c r="E697" s="24"/>
      <c r="F697" s="24"/>
      <c r="G697" s="24"/>
      <c r="H697" s="24"/>
      <c r="I697" s="24"/>
      <c r="J697" s="24"/>
      <c r="K697" s="24"/>
      <c r="L697" s="24"/>
      <c r="M697" s="24"/>
      <c r="N697" s="200"/>
      <c r="O697" s="199"/>
      <c r="P697" s="24"/>
      <c r="Q697" s="111"/>
      <c r="R697" s="24"/>
      <c r="S697" s="24"/>
      <c r="T697" s="24"/>
      <c r="U697" s="24"/>
      <c r="V697" s="24"/>
      <c r="W697" s="24"/>
      <c r="X697" s="24"/>
      <c r="Y697" s="24"/>
      <c r="Z697" s="24"/>
      <c r="AA697" s="24"/>
      <c r="AB697" s="200"/>
      <c r="AC697" s="1"/>
      <c r="AD697" s="1"/>
      <c r="AE697" s="1"/>
      <c r="AF697" s="1"/>
      <c r="AG697" s="1"/>
      <c r="AH697" s="1"/>
      <c r="AI697" s="1"/>
      <c r="AJ697" s="1"/>
      <c r="AK697" s="1"/>
      <c r="AL697" s="1"/>
      <c r="AM697" s="1"/>
      <c r="AN697" s="1"/>
      <c r="AO697" s="1"/>
      <c r="AP697" s="1"/>
      <c r="AQ697" s="1"/>
      <c r="AR697" s="1"/>
      <c r="AS697" s="1"/>
      <c r="AT697" s="1"/>
      <c r="AU697" s="1"/>
      <c r="AV697" s="1"/>
      <c r="AW697" s="1"/>
      <c r="AX697" s="1"/>
      <c r="AY697" s="1"/>
    </row>
    <row r="698" spans="1:51" ht="19.95" customHeight="1">
      <c r="A698" s="199"/>
      <c r="B698" s="24"/>
      <c r="C698" s="24"/>
      <c r="D698" s="24"/>
      <c r="E698" s="24"/>
      <c r="F698" s="24"/>
      <c r="G698" s="24"/>
      <c r="H698" s="24"/>
      <c r="I698" s="24"/>
      <c r="J698" s="24"/>
      <c r="K698" s="24"/>
      <c r="L698" s="24"/>
      <c r="M698" s="24"/>
      <c r="N698" s="200"/>
      <c r="O698" s="199"/>
      <c r="P698" s="24"/>
      <c r="Q698" s="24"/>
      <c r="R698" s="24"/>
      <c r="S698" s="24"/>
      <c r="T698" s="24"/>
      <c r="U698" s="24"/>
      <c r="V698" s="24"/>
      <c r="W698" s="24"/>
      <c r="X698" s="24"/>
      <c r="Y698" s="24"/>
      <c r="Z698" s="24"/>
      <c r="AA698" s="24"/>
      <c r="AB698" s="200"/>
      <c r="AC698" s="1"/>
      <c r="AD698" s="1"/>
      <c r="AE698" s="1"/>
      <c r="AF698" s="1"/>
      <c r="AG698" s="1"/>
      <c r="AH698" s="1"/>
      <c r="AI698" s="1"/>
      <c r="AJ698" s="1"/>
      <c r="AK698" s="1"/>
      <c r="AL698" s="1"/>
      <c r="AM698" s="1"/>
      <c r="AN698" s="1"/>
      <c r="AO698" s="1"/>
      <c r="AP698" s="1"/>
      <c r="AQ698" s="1"/>
      <c r="AR698" s="1"/>
      <c r="AS698" s="1"/>
      <c r="AT698" s="1"/>
      <c r="AU698" s="1"/>
      <c r="AV698" s="1"/>
      <c r="AW698" s="1"/>
      <c r="AX698" s="1"/>
      <c r="AY698" s="1"/>
    </row>
    <row r="699" spans="1:51" ht="19.95" customHeight="1">
      <c r="A699" s="199"/>
      <c r="B699" s="24"/>
      <c r="C699" s="24"/>
      <c r="D699" s="24"/>
      <c r="E699" s="24"/>
      <c r="F699" s="24"/>
      <c r="G699" s="24"/>
      <c r="H699" s="24"/>
      <c r="I699" s="24"/>
      <c r="J699" s="24"/>
      <c r="K699" s="24"/>
      <c r="L699" s="24"/>
      <c r="M699" s="24"/>
      <c r="N699" s="200"/>
      <c r="O699" s="199"/>
      <c r="P699" s="24"/>
      <c r="Q699" s="24"/>
      <c r="R699" s="24"/>
      <c r="S699" s="24"/>
      <c r="T699" s="24"/>
      <c r="U699" s="24"/>
      <c r="V699" s="24"/>
      <c r="W699" s="24"/>
      <c r="X699" s="24"/>
      <c r="Y699" s="24"/>
      <c r="Z699" s="24"/>
      <c r="AA699" s="24"/>
      <c r="AB699" s="200"/>
      <c r="AC699" s="1"/>
      <c r="AD699" s="1"/>
      <c r="AE699" s="1"/>
      <c r="AF699" s="1"/>
      <c r="AG699" s="1"/>
      <c r="AH699" s="1"/>
      <c r="AI699" s="1"/>
      <c r="AJ699" s="1"/>
      <c r="AK699" s="1"/>
      <c r="AL699" s="1"/>
      <c r="AM699" s="1"/>
      <c r="AN699" s="1"/>
      <c r="AO699" s="1"/>
      <c r="AP699" s="1"/>
      <c r="AQ699" s="1"/>
      <c r="AR699" s="1"/>
      <c r="AS699" s="1"/>
      <c r="AT699" s="1"/>
      <c r="AU699" s="1"/>
      <c r="AV699" s="1"/>
      <c r="AW699" s="1"/>
      <c r="AX699" s="1"/>
      <c r="AY699" s="1"/>
    </row>
    <row r="700" spans="1:51" ht="19.95" customHeight="1">
      <c r="A700" s="199"/>
      <c r="B700" s="24"/>
      <c r="C700" s="24"/>
      <c r="D700" s="24"/>
      <c r="E700" s="24"/>
      <c r="F700" s="24"/>
      <c r="G700" s="24"/>
      <c r="H700" s="24"/>
      <c r="I700" s="24"/>
      <c r="J700" s="24"/>
      <c r="K700" s="24"/>
      <c r="L700" s="24"/>
      <c r="M700" s="24"/>
      <c r="N700" s="200"/>
      <c r="O700" s="199"/>
      <c r="P700" s="24"/>
      <c r="Q700" s="24"/>
      <c r="R700" s="24"/>
      <c r="S700" s="24"/>
      <c r="T700" s="24"/>
      <c r="U700" s="24"/>
      <c r="V700" s="24"/>
      <c r="W700" s="24"/>
      <c r="X700" s="24"/>
      <c r="Y700" s="24"/>
      <c r="Z700" s="24"/>
      <c r="AA700" s="24"/>
      <c r="AB700" s="200"/>
      <c r="AC700" s="1"/>
      <c r="AD700" s="1"/>
      <c r="AE700" s="1"/>
      <c r="AF700" s="1"/>
      <c r="AG700" s="1"/>
      <c r="AH700" s="1"/>
      <c r="AI700" s="1"/>
      <c r="AJ700" s="1"/>
      <c r="AK700" s="1"/>
      <c r="AL700" s="1"/>
      <c r="AM700" s="1"/>
      <c r="AN700" s="1"/>
      <c r="AO700" s="1"/>
      <c r="AP700" s="1"/>
      <c r="AQ700" s="1"/>
      <c r="AR700" s="1"/>
      <c r="AS700" s="1"/>
      <c r="AT700" s="1"/>
      <c r="AU700" s="1"/>
      <c r="AV700" s="1"/>
      <c r="AW700" s="1"/>
      <c r="AX700" s="1"/>
      <c r="AY700" s="1"/>
    </row>
    <row r="701" spans="1:51" ht="19.95" customHeight="1">
      <c r="A701" s="199"/>
      <c r="B701" s="24"/>
      <c r="C701" s="24"/>
      <c r="D701" s="24"/>
      <c r="E701" s="24"/>
      <c r="F701" s="24"/>
      <c r="G701" s="24"/>
      <c r="H701" s="24"/>
      <c r="I701" s="24"/>
      <c r="J701" s="24"/>
      <c r="K701" s="24"/>
      <c r="L701" s="24"/>
      <c r="M701" s="24"/>
      <c r="N701" s="200"/>
      <c r="O701" s="199"/>
      <c r="P701" s="24"/>
      <c r="Q701" s="24"/>
      <c r="R701" s="24"/>
      <c r="S701" s="24"/>
      <c r="T701" s="24"/>
      <c r="U701" s="24"/>
      <c r="V701" s="24"/>
      <c r="W701" s="24"/>
      <c r="X701" s="24"/>
      <c r="Y701" s="24"/>
      <c r="Z701" s="24"/>
      <c r="AA701" s="24"/>
      <c r="AB701" s="200"/>
      <c r="AC701" s="1"/>
      <c r="AD701" s="1"/>
      <c r="AE701" s="1"/>
      <c r="AF701" s="1"/>
      <c r="AG701" s="1"/>
      <c r="AH701" s="1"/>
      <c r="AI701" s="1"/>
      <c r="AJ701" s="1"/>
      <c r="AK701" s="1"/>
      <c r="AL701" s="1"/>
      <c r="AM701" s="1"/>
      <c r="AN701" s="1"/>
      <c r="AO701" s="1"/>
      <c r="AP701" s="1"/>
      <c r="AQ701" s="1"/>
      <c r="AR701" s="1"/>
      <c r="AS701" s="1"/>
      <c r="AT701" s="1"/>
      <c r="AU701" s="1"/>
      <c r="AV701" s="1"/>
      <c r="AW701" s="1"/>
      <c r="AX701" s="1"/>
      <c r="AY701" s="1"/>
    </row>
    <row r="702" spans="1:51" ht="19.95" customHeight="1">
      <c r="A702" s="199"/>
      <c r="B702" s="24"/>
      <c r="C702" s="24"/>
      <c r="D702" s="24"/>
      <c r="E702" s="24"/>
      <c r="F702" s="24"/>
      <c r="G702" s="24"/>
      <c r="H702" s="24"/>
      <c r="I702" s="24"/>
      <c r="J702" s="24"/>
      <c r="K702" s="24"/>
      <c r="L702" s="24"/>
      <c r="M702" s="24"/>
      <c r="N702" s="200"/>
      <c r="O702" s="199"/>
      <c r="P702" s="24"/>
      <c r="Q702" s="24"/>
      <c r="R702" s="24"/>
      <c r="S702" s="24"/>
      <c r="T702" s="24"/>
      <c r="U702" s="24"/>
      <c r="V702" s="24"/>
      <c r="W702" s="24"/>
      <c r="X702" s="24"/>
      <c r="Y702" s="24"/>
      <c r="Z702" s="24"/>
      <c r="AA702" s="24"/>
      <c r="AB702" s="200"/>
      <c r="AC702" s="1"/>
      <c r="AD702" s="1"/>
      <c r="AE702" s="1"/>
      <c r="AF702" s="1"/>
      <c r="AG702" s="1"/>
      <c r="AH702" s="1"/>
      <c r="AI702" s="1"/>
      <c r="AJ702" s="1"/>
      <c r="AK702" s="1"/>
      <c r="AL702" s="1"/>
      <c r="AM702" s="1"/>
      <c r="AN702" s="1"/>
      <c r="AO702" s="1"/>
      <c r="AP702" s="1"/>
      <c r="AQ702" s="1"/>
      <c r="AR702" s="1"/>
      <c r="AS702" s="1"/>
      <c r="AT702" s="1"/>
      <c r="AU702" s="1"/>
      <c r="AV702" s="1"/>
      <c r="AW702" s="1"/>
      <c r="AX702" s="1"/>
      <c r="AY702" s="1"/>
    </row>
    <row r="703" spans="1:51" ht="19.95" customHeight="1">
      <c r="A703" s="199"/>
      <c r="B703" s="496" t="s">
        <v>1756</v>
      </c>
      <c r="C703" s="24"/>
      <c r="D703" s="24"/>
      <c r="E703" s="24"/>
      <c r="F703" s="24"/>
      <c r="G703" s="24"/>
      <c r="H703" s="24"/>
      <c r="I703" s="24"/>
      <c r="J703" s="24"/>
      <c r="K703" s="24"/>
      <c r="L703" s="24"/>
      <c r="M703" s="24"/>
      <c r="N703" s="200"/>
      <c r="O703" s="199"/>
      <c r="P703" s="24"/>
      <c r="Q703" s="24"/>
      <c r="R703" s="24"/>
      <c r="S703" s="24"/>
      <c r="T703" s="24"/>
      <c r="U703" s="24"/>
      <c r="V703" s="24"/>
      <c r="W703" s="24"/>
      <c r="X703" s="24"/>
      <c r="Y703" s="24"/>
      <c r="Z703" s="24"/>
      <c r="AA703" s="24"/>
      <c r="AB703" s="200"/>
      <c r="AC703" s="1"/>
      <c r="AD703" s="1"/>
      <c r="AE703" s="1"/>
      <c r="AF703" s="1"/>
      <c r="AG703" s="1"/>
      <c r="AH703" s="1"/>
      <c r="AI703" s="1"/>
      <c r="AJ703" s="1"/>
      <c r="AK703" s="1"/>
      <c r="AL703" s="1"/>
      <c r="AM703" s="1"/>
      <c r="AN703" s="1"/>
      <c r="AO703" s="1"/>
      <c r="AP703" s="1"/>
      <c r="AQ703" s="1"/>
      <c r="AR703" s="1"/>
      <c r="AS703" s="1"/>
      <c r="AT703" s="1"/>
      <c r="AU703" s="1"/>
      <c r="AV703" s="1"/>
      <c r="AW703" s="1"/>
      <c r="AX703" s="1"/>
      <c r="AY703" s="1"/>
    </row>
    <row r="704" spans="1:51" ht="40.049999999999997" customHeight="1">
      <c r="A704" s="199"/>
      <c r="B704" s="1310" t="s">
        <v>2006</v>
      </c>
      <c r="C704" s="1311"/>
      <c r="D704" s="1311"/>
      <c r="E704" s="1311"/>
      <c r="F704" s="1311"/>
      <c r="G704" s="1311"/>
      <c r="H704" s="1311"/>
      <c r="I704" s="1311"/>
      <c r="J704" s="1311"/>
      <c r="K704" s="1311"/>
      <c r="L704" s="1311"/>
      <c r="M704" s="512" t="s">
        <v>1783</v>
      </c>
      <c r="N704" s="200"/>
      <c r="O704" s="199"/>
      <c r="P704" s="24"/>
      <c r="Q704" s="24"/>
      <c r="R704" s="24"/>
      <c r="S704" s="24"/>
      <c r="T704" s="24"/>
      <c r="U704" s="24"/>
      <c r="V704" s="24"/>
      <c r="W704" s="24"/>
      <c r="X704" s="24"/>
      <c r="Y704" s="24"/>
      <c r="Z704" s="24"/>
      <c r="AA704" s="24"/>
      <c r="AB704" s="200"/>
      <c r="AC704" s="1"/>
      <c r="AD704" s="1"/>
      <c r="AE704" s="1"/>
      <c r="AF704" s="1"/>
      <c r="AG704" s="1"/>
      <c r="AH704" s="1"/>
      <c r="AI704" s="1"/>
      <c r="AJ704" s="1"/>
      <c r="AK704" s="1"/>
      <c r="AL704" s="1"/>
      <c r="AM704" s="1"/>
      <c r="AN704" s="1"/>
      <c r="AO704" s="1"/>
      <c r="AP704" s="1"/>
      <c r="AQ704" s="1"/>
      <c r="AR704" s="1"/>
      <c r="AS704" s="1"/>
      <c r="AT704" s="1"/>
      <c r="AU704" s="1"/>
      <c r="AV704" s="1"/>
      <c r="AW704" s="1"/>
      <c r="AX704" s="1"/>
      <c r="AY704" s="1"/>
    </row>
    <row r="705" spans="1:51" ht="19.95" customHeight="1">
      <c r="A705" s="199"/>
      <c r="B705" s="1310" t="s">
        <v>2008</v>
      </c>
      <c r="C705" s="1310"/>
      <c r="D705" s="1310"/>
      <c r="E705" s="1310"/>
      <c r="F705" s="1310"/>
      <c r="G705" s="1310"/>
      <c r="H705" s="1310"/>
      <c r="I705" s="1310"/>
      <c r="J705" s="1310"/>
      <c r="K705" s="1310"/>
      <c r="L705" s="1310"/>
      <c r="M705" s="512" t="s">
        <v>1783</v>
      </c>
      <c r="N705" s="200"/>
      <c r="O705" s="199"/>
      <c r="P705" s="24"/>
      <c r="Q705" s="24"/>
      <c r="R705" s="24"/>
      <c r="S705" s="24"/>
      <c r="T705" s="24"/>
      <c r="U705" s="24"/>
      <c r="V705" s="24"/>
      <c r="W705" s="24"/>
      <c r="X705" s="24"/>
      <c r="Y705" s="24"/>
      <c r="Z705" s="24"/>
      <c r="AA705" s="24"/>
      <c r="AB705" s="200"/>
      <c r="AC705" s="1"/>
      <c r="AD705" s="1"/>
      <c r="AE705" s="1"/>
      <c r="AF705" s="1"/>
      <c r="AG705" s="1"/>
      <c r="AH705" s="1"/>
      <c r="AI705" s="1"/>
      <c r="AJ705" s="1"/>
      <c r="AK705" s="1"/>
      <c r="AL705" s="1"/>
      <c r="AM705" s="1"/>
      <c r="AN705" s="1"/>
      <c r="AO705" s="1"/>
      <c r="AP705" s="1"/>
      <c r="AQ705" s="1"/>
      <c r="AR705" s="1"/>
      <c r="AS705" s="1"/>
      <c r="AT705" s="1"/>
      <c r="AU705" s="1"/>
      <c r="AV705" s="1"/>
      <c r="AW705" s="1"/>
      <c r="AX705" s="1"/>
      <c r="AY705" s="1"/>
    </row>
    <row r="706" spans="1:51" ht="40.049999999999997" customHeight="1">
      <c r="A706" s="199"/>
      <c r="B706" s="1310" t="s">
        <v>2009</v>
      </c>
      <c r="C706" s="1310"/>
      <c r="D706" s="1310"/>
      <c r="E706" s="1310"/>
      <c r="F706" s="1310"/>
      <c r="G706" s="1310"/>
      <c r="H706" s="1310"/>
      <c r="I706" s="1310"/>
      <c r="J706" s="1310"/>
      <c r="K706" s="1310"/>
      <c r="L706" s="1310"/>
      <c r="M706" s="512" t="s">
        <v>1783</v>
      </c>
      <c r="N706" s="200"/>
      <c r="O706" s="199"/>
      <c r="P706" s="24"/>
      <c r="Q706" s="24"/>
      <c r="R706" s="24"/>
      <c r="S706" s="24"/>
      <c r="T706" s="24"/>
      <c r="U706" s="24"/>
      <c r="V706" s="24"/>
      <c r="W706" s="24"/>
      <c r="X706" s="24"/>
      <c r="Y706" s="24"/>
      <c r="Z706" s="24"/>
      <c r="AA706" s="24"/>
      <c r="AB706" s="200"/>
      <c r="AC706" s="1"/>
      <c r="AD706" s="1"/>
      <c r="AE706" s="1"/>
      <c r="AF706" s="1"/>
      <c r="AG706" s="1"/>
      <c r="AH706" s="1"/>
      <c r="AI706" s="1"/>
      <c r="AJ706" s="1"/>
      <c r="AK706" s="1"/>
      <c r="AL706" s="1"/>
      <c r="AM706" s="1"/>
      <c r="AN706" s="1"/>
      <c r="AO706" s="1"/>
      <c r="AP706" s="1"/>
      <c r="AQ706" s="1"/>
      <c r="AR706" s="1"/>
      <c r="AS706" s="1"/>
      <c r="AT706" s="1"/>
      <c r="AU706" s="1"/>
      <c r="AV706" s="1"/>
      <c r="AW706" s="1"/>
      <c r="AX706" s="1"/>
      <c r="AY706" s="1"/>
    </row>
    <row r="707" spans="1:51" ht="4.95" customHeight="1">
      <c r="A707" s="199"/>
      <c r="B707" s="1310"/>
      <c r="C707" s="1310"/>
      <c r="D707" s="1310"/>
      <c r="E707" s="1310"/>
      <c r="F707" s="1310"/>
      <c r="G707" s="1310"/>
      <c r="H707" s="1310"/>
      <c r="I707" s="1310"/>
      <c r="J707" s="1310"/>
      <c r="K707" s="1310"/>
      <c r="L707" s="1310"/>
      <c r="M707" s="24"/>
      <c r="N707" s="200"/>
      <c r="O707" s="199"/>
      <c r="P707" s="24"/>
      <c r="Q707" s="24"/>
      <c r="R707" s="24"/>
      <c r="S707" s="24"/>
      <c r="T707" s="24"/>
      <c r="U707" s="24"/>
      <c r="V707" s="24"/>
      <c r="W707" s="24"/>
      <c r="X707" s="24"/>
      <c r="Y707" s="24"/>
      <c r="Z707" s="24"/>
      <c r="AA707" s="24"/>
      <c r="AB707" s="200"/>
      <c r="AC707" s="1"/>
      <c r="AD707" s="1"/>
      <c r="AE707" s="1"/>
      <c r="AF707" s="1"/>
      <c r="AG707" s="1"/>
      <c r="AH707" s="1"/>
      <c r="AI707" s="1"/>
      <c r="AJ707" s="1"/>
      <c r="AK707" s="1"/>
      <c r="AL707" s="1"/>
      <c r="AM707" s="1"/>
      <c r="AN707" s="1"/>
      <c r="AO707" s="1"/>
      <c r="AP707" s="1"/>
      <c r="AQ707" s="1"/>
      <c r="AR707" s="1"/>
      <c r="AS707" s="1"/>
      <c r="AT707" s="1"/>
      <c r="AU707" s="1"/>
      <c r="AV707" s="1"/>
      <c r="AW707" s="1"/>
      <c r="AX707" s="1"/>
      <c r="AY707" s="1"/>
    </row>
    <row r="708" spans="1:51">
      <c r="A708" s="199"/>
      <c r="B708" s="1310"/>
      <c r="C708" s="1310"/>
      <c r="D708" s="1310"/>
      <c r="E708" s="1310"/>
      <c r="F708" s="1310"/>
      <c r="G708" s="1310"/>
      <c r="H708" s="1310"/>
      <c r="I708" s="1310"/>
      <c r="J708" s="1310"/>
      <c r="K708" s="1310"/>
      <c r="L708" s="1310"/>
      <c r="M708" s="24"/>
      <c r="N708" s="200"/>
      <c r="O708" s="199"/>
      <c r="P708" s="24"/>
      <c r="Q708" s="24"/>
      <c r="R708" s="24"/>
      <c r="S708" s="24"/>
      <c r="T708" s="24"/>
      <c r="U708" s="24"/>
      <c r="V708" s="24"/>
      <c r="W708" s="24"/>
      <c r="X708" s="24"/>
      <c r="Y708" s="24"/>
      <c r="Z708" s="24"/>
      <c r="AA708" s="24"/>
      <c r="AB708" s="200"/>
      <c r="AC708" s="1"/>
      <c r="AD708" s="1"/>
      <c r="AE708" s="1"/>
      <c r="AF708" s="1"/>
      <c r="AG708" s="1"/>
      <c r="AH708" s="1"/>
      <c r="AI708" s="1"/>
      <c r="AJ708" s="1"/>
      <c r="AK708" s="1"/>
      <c r="AL708" s="1"/>
      <c r="AM708" s="1"/>
      <c r="AN708" s="1"/>
      <c r="AO708" s="1"/>
      <c r="AP708" s="1"/>
      <c r="AQ708" s="1"/>
      <c r="AR708" s="1"/>
      <c r="AS708" s="1"/>
      <c r="AT708" s="1"/>
      <c r="AU708" s="1"/>
      <c r="AV708" s="1"/>
      <c r="AW708" s="1"/>
      <c r="AX708" s="1"/>
      <c r="AY708" s="1"/>
    </row>
    <row r="709" spans="1:51">
      <c r="A709" s="199"/>
      <c r="B709" s="24"/>
      <c r="C709" s="24"/>
      <c r="D709" s="24"/>
      <c r="E709" s="24"/>
      <c r="F709" s="24"/>
      <c r="G709" s="24"/>
      <c r="H709" s="24"/>
      <c r="I709" s="24"/>
      <c r="J709" s="24"/>
      <c r="K709" s="24"/>
      <c r="L709" s="24"/>
      <c r="M709" s="24"/>
      <c r="N709" s="200"/>
      <c r="O709" s="199"/>
      <c r="P709" s="24"/>
      <c r="Q709" s="24"/>
      <c r="R709" s="24"/>
      <c r="S709" s="24"/>
      <c r="T709" s="24"/>
      <c r="U709" s="24"/>
      <c r="V709" s="24"/>
      <c r="W709" s="24"/>
      <c r="X709" s="24"/>
      <c r="Y709" s="24"/>
      <c r="Z709" s="24"/>
      <c r="AA709" s="24"/>
      <c r="AB709" s="200"/>
      <c r="AC709" s="1"/>
      <c r="AD709" s="1"/>
      <c r="AE709" s="1"/>
      <c r="AF709" s="1"/>
      <c r="AG709" s="1"/>
      <c r="AH709" s="1"/>
      <c r="AI709" s="1"/>
      <c r="AJ709" s="1"/>
      <c r="AK709" s="1"/>
      <c r="AL709" s="1"/>
      <c r="AM709" s="1"/>
      <c r="AN709" s="1"/>
      <c r="AO709" s="1"/>
      <c r="AP709" s="1"/>
      <c r="AQ709" s="1"/>
      <c r="AR709" s="1"/>
      <c r="AS709" s="1"/>
      <c r="AT709" s="1"/>
      <c r="AU709" s="1"/>
      <c r="AV709" s="1"/>
      <c r="AW709" s="1"/>
      <c r="AX709" s="1"/>
      <c r="AY709" s="1"/>
    </row>
    <row r="710" spans="1:51">
      <c r="A710" s="201"/>
      <c r="B710" s="202"/>
      <c r="C710" s="202"/>
      <c r="D710" s="202"/>
      <c r="E710" s="202"/>
      <c r="F710" s="202"/>
      <c r="G710" s="202"/>
      <c r="H710" s="202"/>
      <c r="I710" s="202"/>
      <c r="J710" s="202"/>
      <c r="K710" s="202"/>
      <c r="L710" s="202"/>
      <c r="M710" s="202"/>
      <c r="N710" s="203"/>
      <c r="O710" s="201"/>
      <c r="P710" s="202"/>
      <c r="Q710" s="202"/>
      <c r="R710" s="202"/>
      <c r="S710" s="202"/>
      <c r="T710" s="202"/>
      <c r="U710" s="202"/>
      <c r="V710" s="202"/>
      <c r="W710" s="202"/>
      <c r="X710" s="202"/>
      <c r="Y710" s="202"/>
      <c r="Z710" s="202"/>
      <c r="AA710" s="202"/>
      <c r="AB710" s="203"/>
      <c r="AC710" s="1"/>
      <c r="AD710" s="1"/>
      <c r="AE710" s="1"/>
      <c r="AF710" s="1"/>
      <c r="AG710" s="1"/>
      <c r="AH710" s="1"/>
      <c r="AI710" s="1"/>
      <c r="AJ710" s="1"/>
      <c r="AK710" s="1"/>
      <c r="AL710" s="1"/>
      <c r="AM710" s="1"/>
      <c r="AN710" s="1"/>
      <c r="AO710" s="1"/>
      <c r="AP710" s="1"/>
      <c r="AQ710" s="1"/>
      <c r="AR710" s="1"/>
      <c r="AS710" s="1"/>
      <c r="AT710" s="1"/>
      <c r="AU710" s="1"/>
      <c r="AV710" s="1"/>
      <c r="AW710" s="1"/>
      <c r="AX710" s="1"/>
      <c r="AY710" s="1"/>
    </row>
    <row r="711" spans="1:51">
      <c r="Q711" s="511"/>
    </row>
    <row r="1093" spans="1:57" ht="16.2" hidden="1">
      <c r="A1093" s="188" t="s">
        <v>1596</v>
      </c>
    </row>
    <row r="1094" spans="1:57" hidden="1">
      <c r="A1094" s="400">
        <f>IF($H97=$B1100,A1100,IF($H97=$B1101,A1101,IF($H97=$B1102,A1102,IF($H97=$B1103,A1103,IF($H97=$B1104,A1104,IF($H97=$B1105,A1105,IF($H97=$B1106,A1106,IF($H97=$B1107,A1107,IF($H97=$B1108,A1108,IF($H97=$B1109,A1109,IF($H97=$B1110,A1110,IF($H97=$B1111,A1111,IF($H97=$B1112,A1112,IF($H97=$B1113,A1113,IF($H97=$B1114,A1114,IF($H97=$B1115,A1115,IF($H97=$B1116,A1116,IF($H97=$B1117,A1117,""))))))))))))))))))</f>
        <v>-4</v>
      </c>
      <c r="B1094" s="2" t="str">
        <f>IF($H97=$B1100,B1100,IF($H97=$B1101,B1101,IF($H97=$B1102,B1102,IF($H97=$B1103,B1103,IF($H97=$B1104,B1104,IF($H97=$B1105,B1105,IF($H97=$B1106,B1106,IF($H97=$B1107,B1107,IF($H97=$B1108,B1108,IF($H97=$B1109,B1109,IF($H97=$B1110,B1110,IF($H97=$B1111,B1111,IF($H97=$B1112,B1112,IF($H97=$B1113,B1113,IF($H97=$B1114,B1114,IF($H97=$B1115,B1115,IF($H97=$B1116,B1116,IF($H97=$B1117,B1117,""))))))))))))))))))</f>
        <v>PROGRESSIVE</v>
      </c>
      <c r="E1094" s="37" t="str">
        <f>IF(AND(A$1094&lt;-1,A$1094&gt;-10),B$1105,IF(AND(A$1094&gt;1,A$1094&lt;10),B$1112,IF(AND(A$1094&gt;-2,A$1094&lt;2),B$1109,"")))</f>
        <v>LIBERAL</v>
      </c>
      <c r="G1094" s="2" t="str">
        <f>IF(E1094="",BK90,E1094)</f>
        <v>LIBERAL</v>
      </c>
      <c r="I1094" s="313" t="str">
        <f>IF(G1094=B$1105,D$1105,IF(G1094=B$1110,D$1110,IF(G1094=B$1112,D$1112,"")))</f>
        <v>liberal</v>
      </c>
    </row>
    <row r="1095" spans="1:57" ht="16.2" hidden="1">
      <c r="A1095" s="188" t="s">
        <v>1597</v>
      </c>
    </row>
    <row r="1096" spans="1:57" hidden="1">
      <c r="A1096" s="400">
        <f>IF($H99=$B1100,A1100,IF($H99=$B1101,A1101,IF($H99=$B1102,A1102,IF($H99=$B1103,A1103,IF($H99=$B1104,A1104,IF($H99=$B1105,A1105,IF($H99=$B1106,A1106,IF($H99=$B1107,A1107,IF($H99=$B1108,A1108,IF($H99=$B1109,A1109,IF($H99=$B1110,A1110,IF($H99=$B1111,A1111,IF($H99=$B1112,A1112,IF($H99=$B1113,A1113,IF($H99=$B1114,A1114,IF($H99=$B1115,A1115,IF($H99=$B1116,A1116,IF($H99=$B1117,A1117,""))))))))))))))))))</f>
        <v>2</v>
      </c>
      <c r="B1096" s="2" t="str">
        <f>IF($H99=$B1100,B1100,IF($H99=$B1101,B1101,IF($H99=$B1102,B1102,IF($H99=$B1103,B1103,IF($H99=$B1104,B1104,IF($H99=$B1105,B1105,IF($H99=$B1106,B1106,IF($H99=$B1107,B1107,IF($H99=$B1108,B1108,IF($H99=$B1109,B1111,IF($H99=$B1112,B1112,IF($H99=$B1113,B1113,IF($H99=$B1114,B1114,IF($H99=$B1115,B1115,IF($H99=$B1116,B1116,IF($H99=$B1117,B1117,IF($H99=$B1118,B1118,IF($H99=$B1119,B1119,""))))))))))))))))))</f>
        <v/>
      </c>
      <c r="E1096" s="37" t="str">
        <f>IF(AND(A$1096&lt;-1,A$1096&gt;-10),B$1105,IF(AND(A$1096&gt;1,A$1096&lt;10),B$1112,IF(AND(A$1096&gt;-2,A$1096&lt;2),B$1109,"")))</f>
        <v>CONSERVATIVE</v>
      </c>
      <c r="G1096" s="2" t="str">
        <f>IF(E1096="",BK88,E1096)</f>
        <v>CONSERVATIVE</v>
      </c>
      <c r="I1096" s="313" t="str">
        <f>IF(G1096=B$1105,D$1105,IF(G1096=B$1110,D$1110,IF(G1096=B$1112,D$1112,"")))</f>
        <v>conservative</v>
      </c>
    </row>
    <row r="1097" spans="1:57" hidden="1"/>
    <row r="1098" spans="1:57" hidden="1"/>
    <row r="1099" spans="1:57" hidden="1"/>
    <row r="1100" spans="1:57" hidden="1">
      <c r="A1100" s="400">
        <f t="shared" ref="A1100:A1105" si="2">A1101-1</f>
        <v>-8</v>
      </c>
      <c r="B1100" s="401" t="s">
        <v>1354</v>
      </c>
      <c r="H1100" s="2">
        <f t="shared" ref="H1100:H1117" si="3">IF(AND($H$97=B1100,$G$300=$B$1165),1,0)</f>
        <v>0</v>
      </c>
      <c r="I1100" s="2">
        <f t="shared" ref="I1100:I1117" si="4">IF(AND($H$97=B1100,$G$302=$B$1170),1,0)</f>
        <v>0</v>
      </c>
      <c r="J1100" s="37">
        <f>SUM(H1100:I1100)</f>
        <v>0</v>
      </c>
      <c r="BE1100" s="132"/>
    </row>
    <row r="1101" spans="1:57" hidden="1">
      <c r="A1101" s="400">
        <f t="shared" si="2"/>
        <v>-7</v>
      </c>
      <c r="B1101" s="401" t="s">
        <v>1344</v>
      </c>
      <c r="H1101" s="2">
        <f t="shared" si="3"/>
        <v>0</v>
      </c>
      <c r="I1101" s="2">
        <f t="shared" si="4"/>
        <v>0</v>
      </c>
      <c r="J1101" s="37">
        <f t="shared" ref="J1101:J1117" si="5">SUM(H1101:I1101)</f>
        <v>0</v>
      </c>
      <c r="BE1101" s="461"/>
    </row>
    <row r="1102" spans="1:57" hidden="1">
      <c r="A1102" s="400">
        <f t="shared" si="2"/>
        <v>-6</v>
      </c>
      <c r="B1102" s="401" t="s">
        <v>685</v>
      </c>
      <c r="H1102" s="2">
        <f t="shared" si="3"/>
        <v>0</v>
      </c>
      <c r="I1102" s="2">
        <f t="shared" si="4"/>
        <v>0</v>
      </c>
      <c r="J1102" s="37">
        <f t="shared" si="5"/>
        <v>0</v>
      </c>
      <c r="BE1102" s="461"/>
    </row>
    <row r="1103" spans="1:57" hidden="1">
      <c r="A1103" s="400">
        <f t="shared" si="2"/>
        <v>-5</v>
      </c>
      <c r="B1103" s="401" t="s">
        <v>1348</v>
      </c>
      <c r="H1103" s="2">
        <f t="shared" si="3"/>
        <v>0</v>
      </c>
      <c r="I1103" s="2">
        <f t="shared" si="4"/>
        <v>0</v>
      </c>
      <c r="J1103" s="37">
        <f t="shared" si="5"/>
        <v>0</v>
      </c>
      <c r="BE1103" s="461"/>
    </row>
    <row r="1104" spans="1:57" hidden="1">
      <c r="A1104" s="400">
        <f t="shared" si="2"/>
        <v>-4</v>
      </c>
      <c r="B1104" s="401" t="s">
        <v>1338</v>
      </c>
      <c r="D1104" s="2" t="s">
        <v>1339</v>
      </c>
      <c r="F1104" s="2" t="s">
        <v>1340</v>
      </c>
      <c r="H1104" s="2">
        <f t="shared" si="3"/>
        <v>1</v>
      </c>
      <c r="I1104" s="2">
        <f t="shared" si="4"/>
        <v>1</v>
      </c>
      <c r="J1104" s="37">
        <f t="shared" si="5"/>
        <v>2</v>
      </c>
      <c r="BE1104" s="461"/>
    </row>
    <row r="1105" spans="1:62" hidden="1">
      <c r="A1105" s="400">
        <f t="shared" si="2"/>
        <v>-3</v>
      </c>
      <c r="B1105" s="403" t="s">
        <v>1342</v>
      </c>
      <c r="D1105" s="37" t="s">
        <v>49</v>
      </c>
      <c r="H1105" s="2">
        <f t="shared" si="3"/>
        <v>0</v>
      </c>
      <c r="I1105" s="2">
        <f t="shared" si="4"/>
        <v>0</v>
      </c>
      <c r="J1105" s="37">
        <f t="shared" si="5"/>
        <v>0</v>
      </c>
      <c r="BE1105" s="461"/>
    </row>
    <row r="1106" spans="1:62" hidden="1">
      <c r="A1106" s="400">
        <f>A1107-1</f>
        <v>-2</v>
      </c>
      <c r="B1106" s="401" t="s">
        <v>680</v>
      </c>
      <c r="H1106" s="2">
        <f t="shared" si="3"/>
        <v>0</v>
      </c>
      <c r="I1106" s="2">
        <f t="shared" si="4"/>
        <v>0</v>
      </c>
      <c r="J1106" s="37">
        <f t="shared" si="5"/>
        <v>0</v>
      </c>
      <c r="BE1106" s="461"/>
    </row>
    <row r="1107" spans="1:62" hidden="1">
      <c r="A1107" s="400">
        <v>-1</v>
      </c>
      <c r="B1107" s="132" t="s">
        <v>1349</v>
      </c>
      <c r="H1107" s="2">
        <f t="shared" si="3"/>
        <v>0</v>
      </c>
      <c r="I1107" s="2">
        <f t="shared" si="4"/>
        <v>0</v>
      </c>
      <c r="J1107" s="37">
        <f t="shared" si="5"/>
        <v>0</v>
      </c>
      <c r="BE1107" s="461"/>
    </row>
    <row r="1108" spans="1:62" hidden="1">
      <c r="A1108" s="400">
        <v>0</v>
      </c>
      <c r="B1108" s="132" t="s">
        <v>1351</v>
      </c>
      <c r="H1108" s="2">
        <f t="shared" si="3"/>
        <v>0</v>
      </c>
      <c r="I1108" s="2">
        <f t="shared" si="4"/>
        <v>0</v>
      </c>
      <c r="J1108" s="37">
        <f t="shared" si="5"/>
        <v>0</v>
      </c>
    </row>
    <row r="1109" spans="1:62" hidden="1">
      <c r="A1109" s="400">
        <v>0</v>
      </c>
      <c r="B1109" s="132" t="s">
        <v>1352</v>
      </c>
      <c r="H1109" s="2">
        <f t="shared" si="3"/>
        <v>0</v>
      </c>
      <c r="I1109" s="2">
        <f t="shared" si="4"/>
        <v>0</v>
      </c>
      <c r="J1109" s="37">
        <f t="shared" si="5"/>
        <v>0</v>
      </c>
    </row>
    <row r="1110" spans="1:62" hidden="1">
      <c r="A1110" s="400">
        <f>A1109+1</f>
        <v>1</v>
      </c>
      <c r="B1110" s="132" t="s">
        <v>1350</v>
      </c>
      <c r="H1110" s="2">
        <f t="shared" si="3"/>
        <v>0</v>
      </c>
      <c r="I1110" s="2">
        <f t="shared" si="4"/>
        <v>0</v>
      </c>
      <c r="J1110" s="37">
        <f t="shared" si="5"/>
        <v>0</v>
      </c>
    </row>
    <row r="1111" spans="1:62" hidden="1">
      <c r="A1111" s="400">
        <f t="shared" ref="A1111:A1117" si="6">A1110+1</f>
        <v>2</v>
      </c>
      <c r="B1111" s="402" t="s">
        <v>681</v>
      </c>
      <c r="H1111" s="2">
        <f t="shared" si="3"/>
        <v>0</v>
      </c>
      <c r="I1111" s="2">
        <f t="shared" si="4"/>
        <v>0</v>
      </c>
      <c r="J1111" s="37">
        <f t="shared" si="5"/>
        <v>0</v>
      </c>
    </row>
    <row r="1112" spans="1:62" hidden="1">
      <c r="A1112" s="400">
        <f t="shared" si="6"/>
        <v>3</v>
      </c>
      <c r="B1112" s="404" t="s">
        <v>1357</v>
      </c>
      <c r="D1112" s="37" t="s">
        <v>50</v>
      </c>
      <c r="H1112" s="2">
        <f t="shared" si="3"/>
        <v>0</v>
      </c>
      <c r="I1112" s="2">
        <f t="shared" si="4"/>
        <v>0</v>
      </c>
      <c r="J1112" s="37">
        <f t="shared" si="5"/>
        <v>0</v>
      </c>
    </row>
    <row r="1113" spans="1:62" hidden="1">
      <c r="A1113" s="400">
        <f t="shared" si="6"/>
        <v>4</v>
      </c>
      <c r="B1113" s="402" t="s">
        <v>1353</v>
      </c>
      <c r="D1113" s="2" t="s">
        <v>1341</v>
      </c>
      <c r="H1113" s="2">
        <f t="shared" si="3"/>
        <v>0</v>
      </c>
      <c r="I1113" s="2">
        <f t="shared" si="4"/>
        <v>0</v>
      </c>
      <c r="J1113" s="37">
        <f t="shared" si="5"/>
        <v>0</v>
      </c>
    </row>
    <row r="1114" spans="1:62" hidden="1">
      <c r="A1114" s="400">
        <f t="shared" si="6"/>
        <v>5</v>
      </c>
      <c r="B1114" s="402" t="s">
        <v>1345</v>
      </c>
      <c r="H1114" s="2">
        <f t="shared" si="3"/>
        <v>0</v>
      </c>
      <c r="I1114" s="2">
        <f t="shared" si="4"/>
        <v>0</v>
      </c>
      <c r="J1114" s="37">
        <f t="shared" si="5"/>
        <v>0</v>
      </c>
    </row>
    <row r="1115" spans="1:62" hidden="1">
      <c r="A1115" s="400">
        <f t="shared" si="6"/>
        <v>6</v>
      </c>
      <c r="B1115" s="402" t="s">
        <v>1343</v>
      </c>
      <c r="H1115" s="2">
        <f t="shared" si="3"/>
        <v>0</v>
      </c>
      <c r="I1115" s="2">
        <f t="shared" si="4"/>
        <v>0</v>
      </c>
      <c r="J1115" s="37">
        <f t="shared" si="5"/>
        <v>0</v>
      </c>
    </row>
    <row r="1116" spans="1:62" hidden="1">
      <c r="A1116" s="400">
        <f t="shared" si="6"/>
        <v>7</v>
      </c>
      <c r="B1116" s="402" t="s">
        <v>1346</v>
      </c>
      <c r="H1116" s="2">
        <f t="shared" si="3"/>
        <v>0</v>
      </c>
      <c r="I1116" s="2">
        <f t="shared" si="4"/>
        <v>0</v>
      </c>
      <c r="J1116" s="37">
        <f t="shared" si="5"/>
        <v>0</v>
      </c>
    </row>
    <row r="1117" spans="1:62" hidden="1">
      <c r="A1117" s="400">
        <f t="shared" si="6"/>
        <v>8</v>
      </c>
      <c r="B1117" s="402" t="s">
        <v>1347</v>
      </c>
      <c r="H1117" s="2">
        <f t="shared" si="3"/>
        <v>0</v>
      </c>
      <c r="I1117" s="2">
        <f t="shared" si="4"/>
        <v>0</v>
      </c>
      <c r="J1117" s="37">
        <f t="shared" si="5"/>
        <v>0</v>
      </c>
      <c r="BG1117" s="441" t="s">
        <v>1478</v>
      </c>
      <c r="BH1117" s="433"/>
      <c r="BI1117" s="433"/>
      <c r="BJ1117" s="433"/>
    </row>
    <row r="1118" spans="1:62" ht="16.2" hidden="1">
      <c r="J1118" s="418">
        <f>SUM(J1100:J1117)</f>
        <v>2</v>
      </c>
      <c r="K1118" s="2" t="str">
        <f>IF(J1118&gt;1,P1119,P1120)</f>
        <v xml:space="preserve">The more your client's needs remain unresolved, the more apt to generalize for relief. The more they cling to political generalizations. </v>
      </c>
      <c r="BG1118" s="441" t="s">
        <v>1477</v>
      </c>
      <c r="BH1118" s="433"/>
      <c r="BI1118" s="433"/>
      <c r="BJ1118" s="433"/>
    </row>
    <row r="1119" spans="1:62" hidden="1">
      <c r="P1119" s="2" t="s">
        <v>1423</v>
      </c>
      <c r="BG1119" s="454" t="s">
        <v>1515</v>
      </c>
      <c r="BH1119" s="454" t="s">
        <v>1516</v>
      </c>
      <c r="BI1119" s="454" t="s">
        <v>1517</v>
      </c>
      <c r="BJ1119" s="454" t="s">
        <v>1518</v>
      </c>
    </row>
    <row r="1120" spans="1:62" ht="15.6" hidden="1">
      <c r="B1120" s="407" t="str">
        <f>IF(OR(AND($A$1094&gt;0,$A$1096&lt;0),AND($A$1094&lt;0,$A$1096&gt;0)),"opposing","similar")</f>
        <v>opposing</v>
      </c>
      <c r="P1120" s="2" t="s">
        <v>1424</v>
      </c>
      <c r="BG1120" s="455" t="str">
        <f>IF($E$1094=$B$1105,BG1124,IF($E$1094=$B$1112,BH1124,"unmet needs"))</f>
        <v>full inclusion</v>
      </c>
      <c r="BH1120" s="455" t="str">
        <f>IF($E$1094=$B$1105,BH1124,IF($E$1094=$B$1112,BG1124,"their unmet needs"))</f>
        <v>self-protection</v>
      </c>
      <c r="BI1120" s="455" t="str">
        <f>IF($E$1094=$B$1105,BI1124,IF($E$1094=$B$1112,BJ1124,"met needs"))</f>
        <v>self-determination</v>
      </c>
      <c r="BJ1120" s="455" t="str">
        <f>IF($E$1094=$B$1105,BJ1124,IF($E$1094=$B$1112,BI1124,"met needs"))</f>
        <v>local cohesion</v>
      </c>
    </row>
    <row r="1121" spans="1:67" ht="15.6" hidden="1">
      <c r="B1121" s="408"/>
      <c r="D1121" s="419" t="s">
        <v>1370</v>
      </c>
      <c r="X1121" s="2" t="s">
        <v>1462</v>
      </c>
      <c r="BG1121" s="440" t="s">
        <v>1474</v>
      </c>
    </row>
    <row r="1122" spans="1:67" hidden="1">
      <c r="F1122" s="132"/>
      <c r="G1122" s="460" t="s">
        <v>1598</v>
      </c>
      <c r="H1122" s="132" t="str">
        <f>IF($E$1094=$B$1105,H$1124,IF($E$1094=$B$1112,I$1124,"one side"))</f>
        <v>soft borders</v>
      </c>
      <c r="I1122" s="463" t="str">
        <f>IF($E$1094=$B$1105,I$1124,IF($E$1094=$B$1112,H$1124,"the other"))</f>
        <v>firm borders</v>
      </c>
      <c r="J1122" s="132"/>
      <c r="K1122" s="460" t="s">
        <v>1599</v>
      </c>
      <c r="L1122" s="132" t="str">
        <f>IF($E$1094=$B$1105,L$1124,IF($E$1094=$B$1112,M$1124,"one's focus"))</f>
        <v>easy entry</v>
      </c>
      <c r="M1122" s="463" t="str">
        <f>IF($E$1094=$B$1105,M$1124,IF($E$1094=$B$1112,L$1124,"the other's focus"))</f>
        <v>vetted entry</v>
      </c>
      <c r="N1122" s="132"/>
      <c r="O1122" s="132"/>
      <c r="P1122" s="132" t="str">
        <f>IF($E$1094=$B$1105,P$1124,IF($E$1094=$B$1112,Q$1124,"one group"))</f>
        <v>poor immigrants</v>
      </c>
      <c r="Q1122" s="463" t="str">
        <f>IF($E$1094=$B$1105,Q$1124,IF($E$1094=$B$1112,P$1124,"another group"))</f>
        <v>U.S. citizens</v>
      </c>
      <c r="R1122" s="132" t="str">
        <f>IF($E$1094=$B$1105,R$1124,IF($E$1094=$B$1112,S$1124,"relieve their pain"))</f>
        <v>help all immigrants</v>
      </c>
      <c r="S1122" s="463" t="str">
        <f>IF($E$1094=$B$1105,S$1124,IF($E$1094=$B$1112,R$1124,"do the opposite"))</f>
        <v>build a wall</v>
      </c>
      <c r="T1122" s="132" t="str">
        <f>IF($E$1094=$B$1105,T$1124,IF($E$1094=$B$1112,U$1124,"both sides exaggerate"))</f>
        <v>cage children</v>
      </c>
      <c r="U1122" s="463" t="str">
        <f>IF($E$1094=$B$1105,U$1124,IF($E$1094=$B$1112,T$1124,"they are right"))</f>
        <v>let in murderers</v>
      </c>
      <c r="V1122" s="132" t="str">
        <f>IF($E$1094=$B$1105,V$1124,IF($E$1094=$B$1112,W$1124,"overgeneralize too much"))</f>
        <v>separate families</v>
      </c>
      <c r="W1122" s="463" t="str">
        <f>IF($E$1094=$B$1105,W$1124,IF($E$1094=$B$1112,V$1124,"others are wrong"))</f>
        <v>let in criminal gangs</v>
      </c>
      <c r="X1122" s="132" t="str">
        <f>IF($E$1094=$B$1105,X$1124,IF($E$1094=$B$1112,Y$1124,"disgust"))</f>
        <v>alienation</v>
      </c>
      <c r="Y1122" s="463" t="str">
        <f>IF($E$1094=$B$1105,Y$1124,IF($E$1094=$B$1112,X$1124,"&amp;@&amp;"))</f>
        <v>insecurity</v>
      </c>
      <c r="Z1122" s="132" t="str">
        <f>IF($E$1094=$B$1105,Z$1124,IF($E$1094=$B$1112,AA$1124,"disappointment"))</f>
        <v>loneliness</v>
      </c>
      <c r="AA1122" s="463" t="str">
        <f>IF($E$1094=$B$1105,AA$1124,IF($E$1094=$B$1112,Z$1124,"!#!"))</f>
        <v>anxiety</v>
      </c>
      <c r="AZ1122" s="132"/>
      <c r="BA1122" s="132"/>
      <c r="BB1122" s="132"/>
      <c r="BC1122" s="132" t="str">
        <f>IF($E$1094=$B$1105,BC$1124,IF($E$1094=$B$1112,BD$1124,"ideologues"))</f>
        <v>"xenophobes"</v>
      </c>
      <c r="BD1122" s="463" t="str">
        <f>IF($E$1094=$B$1105,BD$1124,IF($E$1094=$B$1112,BC$1124,"appeasers"))</f>
        <v>"illegals"</v>
      </c>
      <c r="BE1122" s="132" t="str">
        <f>IF($E$1094=$B$1105,BE$1124,IF($E$1094=$B$1112,BF$1124,"for peace"))</f>
        <v>for freedom of movement</v>
      </c>
      <c r="BF1122" s="463" t="str">
        <f>IF($E$1094=$B$1105,BF$1124,IF($E$1094=$B$1112,BE$1124,"to fight"))</f>
        <v>for secure borders</v>
      </c>
      <c r="BG1122" s="132" t="str">
        <f>IF($E$1094=$B$1105,BG$1124,IF($E$1094=$B$1112,BH$1124,"unity"))</f>
        <v>full inclusion</v>
      </c>
      <c r="BH1122" s="463" t="str">
        <f>IF($E$1094=$B$1105,BH$1124,IF($E$1094=$B$1112,BG$1124,"arguing"))</f>
        <v>self-protection</v>
      </c>
      <c r="BI1122" s="132" t="str">
        <f>IF($E$1094=$B$1105,BI$1124,IF($E$1094=$B$1112,BJ$1124,"cooperation"))</f>
        <v>self-determination</v>
      </c>
      <c r="BJ1122" s="463" t="str">
        <f>IF($E$1094=$B$1105,BJ$1124,IF($E$1094=$B$1112,BI$1124,"debating"))</f>
        <v>local cohesion</v>
      </c>
      <c r="BK1122" s="132" t="str">
        <f>IF($E$1094=$B$1105,BK$1124,IF($E$1094=$B$1112,BL$1124,"just get along"))</f>
        <v>let anyone enter</v>
      </c>
      <c r="BL1122" s="463" t="str">
        <f>IF($E$1094=$B$1105,BL$1124,IF($E$1094=$B$1112,BK$1124,"take a side"))</f>
        <v>keep all out</v>
      </c>
      <c r="BM1122" s="132" t="str">
        <f>IF($E$1094=$B$1105,BM$1124,IF($E$1094=$B$1112,BN$1124,"clashing needs"))</f>
        <v>affected nativists</v>
      </c>
      <c r="BN1122" s="463" t="str">
        <f>IF($E$1094=$B$1105,BN$1124,IF($E$1094=$B$1112,BM$1124,"the need for peace"))</f>
        <v>desperate immigrants</v>
      </c>
      <c r="BO1122" s="132"/>
    </row>
    <row r="1123" spans="1:67" hidden="1">
      <c r="F1123" s="461"/>
      <c r="G1123" s="462" t="s">
        <v>1600</v>
      </c>
      <c r="H1123" s="461" t="str">
        <f>IF($E$1096=$B$1105,H$1124,IF($E$1096=$B$1112,I$1124,"one side"))</f>
        <v>firm borders</v>
      </c>
      <c r="I1123" s="464" t="str">
        <f>IF($E$1096=$B$1105,I$1124,IF($E$1096=$B$1112,H$1124,"the other"))</f>
        <v>soft borders</v>
      </c>
      <c r="J1123" s="461"/>
      <c r="K1123" s="462" t="s">
        <v>1601</v>
      </c>
      <c r="L1123" s="461" t="str">
        <f>IF($E$1096=$B$1105,L$1124,IF($E$1096=$B$1112,M$1124,""))</f>
        <v>vetted entry</v>
      </c>
      <c r="M1123" s="464" t="str">
        <f>IF($E$1096=$B$1105,M$1124,IF($E$1096=$B$1112,L$1124,""))</f>
        <v>easy entry</v>
      </c>
      <c r="N1123" s="461"/>
      <c r="O1123" s="461"/>
      <c r="P1123" s="461" t="str">
        <f>IF($E$1096=$B$1105,P$1124,IF($E$1096=$B$1112,Q$1124,""))</f>
        <v>U.S. citizens</v>
      </c>
      <c r="Q1123" s="464" t="str">
        <f>IF($E$1096=$B$1105,Q$1124,IF($E$1096=$B$1112,P$1124,""))</f>
        <v>poor immigrants</v>
      </c>
      <c r="R1123" s="461" t="str">
        <f>IF($E$1096=$B$1105,R$1124,IF($E$1096=$B$1112,S$1124,""))</f>
        <v>build a wall</v>
      </c>
      <c r="S1123" s="464" t="str">
        <f>IF($E$1096=$B$1105,S$1124,IF($E$1096=$B$1112,R$1124,""))</f>
        <v>help all immigrants</v>
      </c>
      <c r="T1123" s="461" t="str">
        <f>IF($E$1096=$B$1105,T$1124,IF($E$1096=$B$1112,U$1124,""))</f>
        <v>let in murderers</v>
      </c>
      <c r="U1123" s="464" t="str">
        <f>IF($E$1096=$B$1105,U$1124,IF($E$1096=$B$1112,T$1124,""))</f>
        <v>cage children</v>
      </c>
      <c r="V1123" s="461" t="str">
        <f>IF($E$1096=$B$1105,V$1124,IF($E$1096=$B$1112,W$1124,""))</f>
        <v>let in criminal gangs</v>
      </c>
      <c r="W1123" s="464" t="str">
        <f>IF($E$1096=$B$1105,W$1124,IF($E$1096=$B$1112,V$1124,""))</f>
        <v>separate families</v>
      </c>
      <c r="X1123" s="461" t="str">
        <f>IF($E$1096=$B$1105,X$1124,IF($E$1096=$B$1112,Y$1124,""))</f>
        <v>insecurity</v>
      </c>
      <c r="Y1123" s="464" t="str">
        <f>IF($E$1096=$B$1105,Y$1124,IF($E$1096=$B$1112,X$1124,""))</f>
        <v>alienation</v>
      </c>
      <c r="Z1123" s="461" t="str">
        <f>IF($E$1096=$B$1105,Z$1124,IF($E$1096=$B$1112,AA$1124,""))</f>
        <v>anxiety</v>
      </c>
      <c r="AA1123" s="464" t="str">
        <f>IF($E$1096=$B$1105,AA$1124,IF($E$1096=$B$1112,Z$1124,""))</f>
        <v>loneliness</v>
      </c>
      <c r="AZ1123" s="461"/>
      <c r="BA1123" s="461"/>
      <c r="BB1123" s="461"/>
      <c r="BC1123" s="461" t="str">
        <f>IF($E$1096=$B$1105,BC$1124,IF($E$1096=$B$1112,BD$1124,""))</f>
        <v>"illegals"</v>
      </c>
      <c r="BD1123" s="464" t="str">
        <f>IF($E$1096=$B$1105,BD$1124,IF($E$1096=$B$1112,BC$1124,""))</f>
        <v>"xenophobes"</v>
      </c>
      <c r="BE1123" s="461" t="str">
        <f>IF($E$1096=$B$1105,BE$1124,IF($E$1096=$B$1112,BF$1124,""))</f>
        <v>for secure borders</v>
      </c>
      <c r="BF1123" s="464" t="str">
        <f>IF($E$1096=$B$1105,BF$1124,IF($E$1096=$B$1112,BE$1124,""))</f>
        <v>for freedom of movement</v>
      </c>
      <c r="BG1123" s="461" t="str">
        <f>IF($E$1096=$B$1105,BG$1124,IF($E$1096=$B$1112,BH$1124,"[a]"))</f>
        <v>self-protection</v>
      </c>
      <c r="BH1123" s="464" t="str">
        <f>IF($E$1096=$B$1105,BH$1124,IF($E$1096=$B$1112,BG$1124,"[b]"))</f>
        <v>full inclusion</v>
      </c>
      <c r="BI1123" s="461" t="str">
        <f>IF($E$1096=$B$1105,BI$1124,IF($E$1096=$B$1112,BJ$1124,"[c]"))</f>
        <v>local cohesion</v>
      </c>
      <c r="BJ1123" s="464" t="str">
        <f>IF($E$1096=$B$1105,BJ$1124,IF($E$1096=$B$1112,BI$1124,"[d]"))</f>
        <v>self-determination</v>
      </c>
      <c r="BK1123" s="461" t="str">
        <f>IF($E$1096=$B$1105,BK$1124,IF($E$1096=$B$1112,BL$1124,"w overgen"))</f>
        <v>keep all out</v>
      </c>
      <c r="BL1123" s="464" t="str">
        <f>IF($E$1096=$B$1105,BL$1124,IF($E$1096=$B$1112,BK$1124,"d overgen"))</f>
        <v>let anyone enter</v>
      </c>
      <c r="BM1123" s="461" t="str">
        <f>IF($E$1096=$B$1105,BM$1124,IF($E$1096=$B$1112,BN$1124,"w degen"))</f>
        <v>desperate immigrants</v>
      </c>
      <c r="BN1123" s="464" t="str">
        <f>IF($E$1096=$B$1105,BN$1124,IF($E$1096=$B$1112,BM$1124,"d degen"))</f>
        <v>affected nativists</v>
      </c>
      <c r="BO1123" s="461"/>
    </row>
    <row r="1124" spans="1:67" hidden="1">
      <c r="B1124" s="414" t="str">
        <f>IF($H$101=$B1127,B1127,IF($H$101=$B1128,B1128,IF($H$101=$B1129,B1129,IF(H101=$B1130,B1130,IF($H$101=$B1131,B1131,IF($H$101=$B1132,B1132,IF($H$101=$B1133,B1133,IF($H$101=$B1134,B1134,IF($H$101=$B1135,B1135,IF($H$101=$B1136,B1136,IF($H$101=$B1137,B1137,IF($H$101=$B1138,B1138,""))))))))))))</f>
        <v>IMMIGRATION</v>
      </c>
      <c r="C1124" s="414" t="str">
        <f>IF($H$101=$B1127,C1127,IF($H$101=$B1128,C1128,IF($H$101=$B1129,C1129,IF($H$101=$B1130,C1130,IF($H$101=$B1131,C1131,IF($H$101=$B1132,C1132,IF($H$101=$B1133,C1133,IF($H$101=$B1134,C1134,IF($H$101=$B1135,C1135,IF($H$101=$B1136,C1136,IF($H$101=$B1137,C1137,IF($H$101=$B1138,C1138,""))))))))))))</f>
        <v>Immigration</v>
      </c>
      <c r="D1124" s="414" t="str">
        <f>IF($H$101=$B1127,D1127,IF($H$101=$B1128,D1128,IF($H$101=$B1129,D1129,IF($H$101=$B1130,D1130,IF($H$101=$B1131,D1131,IF($H$101=$B1132,D1132,IF($H$101=$B1133,D1133,IF($H$101=$B1134,D1134,IF($H$101=$B1135,D1135,IF($H$101=$B1136,D1136,IF($H$101=$B1137,D1137,IF($H$101=$B1138,D1138,""))))))))))))</f>
        <v>immigration</v>
      </c>
      <c r="E1124" s="414"/>
      <c r="F1124" s="403" t="str">
        <f t="shared" ref="F1124:U1124" si="7">IF($H$101=$B1127,F1127,IF($H$101=$B1128,F1128,IF($H$101=$B1129,F1129,IF($H$101=$B1130,F1130,IF($H$101=$B1131,F1131,IF($H$101=$B1132,F1132,IF($H$101=$B1133,F1133,IF($H$101=$B1134,F1134,IF($H$101=$B1135,F1135,IF($H$101=$B1136,F1136,IF($H$101=$B1137,F1137,IF($H$101=$B1138,F1138,""))))))))))))</f>
        <v>Soft borders</v>
      </c>
      <c r="G1124" s="415" t="str">
        <f t="shared" si="7"/>
        <v>Firm borders</v>
      </c>
      <c r="H1124" s="403" t="str">
        <f t="shared" si="7"/>
        <v>soft borders</v>
      </c>
      <c r="I1124" s="415" t="str">
        <f t="shared" si="7"/>
        <v>firm borders</v>
      </c>
      <c r="J1124" s="403" t="str">
        <f t="shared" si="7"/>
        <v>Easy entry</v>
      </c>
      <c r="K1124" s="415" t="str">
        <f t="shared" si="7"/>
        <v>Vetted entry</v>
      </c>
      <c r="L1124" s="403" t="str">
        <f t="shared" si="7"/>
        <v>easy entry</v>
      </c>
      <c r="M1124" s="415" t="str">
        <f t="shared" si="7"/>
        <v>vetted entry</v>
      </c>
      <c r="N1124" s="414"/>
      <c r="O1124" s="414"/>
      <c r="P1124" s="403" t="str">
        <f t="shared" si="7"/>
        <v>poor immigrants</v>
      </c>
      <c r="Q1124" s="415" t="str">
        <f t="shared" si="7"/>
        <v>U.S. citizens</v>
      </c>
      <c r="R1124" s="403" t="str">
        <f t="shared" si="7"/>
        <v>help all immigrants</v>
      </c>
      <c r="S1124" s="415" t="str">
        <f t="shared" si="7"/>
        <v>build a wall</v>
      </c>
      <c r="T1124" s="403" t="str">
        <f t="shared" si="7"/>
        <v>cage children</v>
      </c>
      <c r="U1124" s="415" t="str">
        <f t="shared" si="7"/>
        <v>let in murderers</v>
      </c>
      <c r="V1124" s="403" t="str">
        <f t="shared" ref="V1124:AA1124" si="8">IF($H$101=$B1127,V1127,IF($H$101=$B1128,V1128,IF($H$101=$B1129,V1129,IF($H$101=$B1130,V1130,IF($H$101=$B1131,V1131,IF($H$101=$B1132,V1132,IF($H$101=$B1133,V1133,IF($H$101=$B1134,V1134,IF($H$101=$B1135,V1135,IF($H$101=$B1136,V1136,IF($H$101=$B1137,V1137,IF($H$101=$B1138,V1138,""))))))))))))</f>
        <v>separate families</v>
      </c>
      <c r="W1124" s="415" t="str">
        <f t="shared" si="8"/>
        <v>let in criminal gangs</v>
      </c>
      <c r="X1124" s="403" t="str">
        <f t="shared" si="8"/>
        <v>alienation</v>
      </c>
      <c r="Y1124" s="415" t="str">
        <f t="shared" si="8"/>
        <v>insecurity</v>
      </c>
      <c r="Z1124" s="403" t="str">
        <f t="shared" si="8"/>
        <v>loneliness</v>
      </c>
      <c r="AA1124" s="415" t="str">
        <f t="shared" si="8"/>
        <v>anxiety</v>
      </c>
      <c r="AZ1124" s="414"/>
      <c r="BA1124" s="403" t="str">
        <f>IF($H$101=$B1127,BA1127,IF($H$101=$B1128,BA1128,IF($H$101=$B1129,BA1129,IF($H$101=$B1130,BA1130,IF($H$101=$B1131,BA1131,IF($H$101=$B1132,BA1132,IF($H$101=$B1133,BA1133,IF($H$101=$B1134,BA1134,IF($H$101=$B1135,BA1135,IF($H$101=$B1136,BA1136,IF($H$101=$B1137,BA1137,IF($H$101=$B1138,BA1138,""))))))))))))</f>
        <v>lose workforce</v>
      </c>
      <c r="BB1124" s="415" t="str">
        <f>IF($H$101=$B1127,BB1127,IF($H$101=$B1128,BB1128,IF($H$101=$B1129,BB1129,IF($H$101=$B1130,BB1130,IF($H$101=$B1131,BB1131,IF($H$101=$B1132,BB1132,IF($H$101=$B1133,BB1133,IF($H$101=$B1134,BB1134,IF($H$101=$B1135,BB1135,IF($H$101=$B1136,BB1136,IF($H$101=$B1137,BB1137,IF($H$101=$B1138,BB1138,""))))))))))))</f>
        <v>lose jobs to migrants</v>
      </c>
      <c r="BC1124" s="403" t="str">
        <f>IF($H$101=$B1127,BC1127,IF($H$101=$B1128,BC1128,IF($H$101=$B1129,BC1129,IF($H$101=$B1130,BC1130,IF($H$101=$B1131,BC1131,IF($H$101=$B1132,BC1132,IF($H$101=$B1133,BC1133,IF($H$101=$B1134,BC1134,IF($H$101=$B1135,BC1135,IF($H$101=$B1136,BC1136,IF($H$101=$B1137,BC1137,IF($H$101=$B1138,BC1138,""))))))))))))</f>
        <v>"xenophobes"</v>
      </c>
      <c r="BD1124" s="415" t="str">
        <f>IF($H$101=$B1127,BD1127,IF($H$101=$B1128,BD1128,IF($H$101=$B1129,BD1129,IF($H$101=$B1130,BD1130,IF($H$101=$B1131,BD1131,IF($H$101=$B1132,BD1132,IF($H$101=$B1133,BD1133,IF($H$101=$B1134,BD1134,IF($H$101=$B1135,BD1135,IF($H$101=$B1136,BD1136,IF($H$101=$B1137,BD1137,IF($H$101=$B1138,BD1138,""))))))))))))</f>
        <v>"illegals"</v>
      </c>
      <c r="BE1124" s="456" t="str">
        <f t="shared" ref="BE1124:BN1124" si="9">IF($H$101=$B1127,BE1127,IF($H$101=$B1128,BE1128,IF($H$101=$B1129,BE1129,IF($H$101=$B1130,BE1130,IF($H$101=$B1131,BE1131,IF($H$101=$B1132,BE1132,IF($H$101=$B1133,BE1133,IF($H$101=$B1134,BE1134,IF($H$101=$B1135,BE1135,IF($H$101=$B1136,BE1136,IF($H$101=$B1137,BE1137,IF($H$101=$B1138,BE1138,""))))))))))))</f>
        <v>for freedom of movement</v>
      </c>
      <c r="BF1124" s="457" t="str">
        <f t="shared" si="9"/>
        <v>for secure borders</v>
      </c>
      <c r="BG1124" s="403" t="str">
        <f t="shared" si="9"/>
        <v>full inclusion</v>
      </c>
      <c r="BH1124" s="415" t="str">
        <f t="shared" si="9"/>
        <v>self-protection</v>
      </c>
      <c r="BI1124" s="403" t="str">
        <f t="shared" si="9"/>
        <v>self-determination</v>
      </c>
      <c r="BJ1124" s="415" t="str">
        <f t="shared" si="9"/>
        <v>local cohesion</v>
      </c>
      <c r="BK1124" s="403" t="str">
        <f t="shared" si="9"/>
        <v>let anyone enter</v>
      </c>
      <c r="BL1124" s="415" t="str">
        <f t="shared" si="9"/>
        <v>keep all out</v>
      </c>
      <c r="BM1124" s="403" t="str">
        <f t="shared" si="9"/>
        <v>affected nativists</v>
      </c>
      <c r="BN1124" s="415" t="str">
        <f t="shared" si="9"/>
        <v>desperate immigrants</v>
      </c>
    </row>
    <row r="1125" spans="1:67" hidden="1">
      <c r="R1125" s="2" t="s">
        <v>1313</v>
      </c>
      <c r="T1125" s="2" t="s">
        <v>1511</v>
      </c>
      <c r="X1125" s="2" t="s">
        <v>1461</v>
      </c>
      <c r="BC1125" s="47" t="s">
        <v>1456</v>
      </c>
      <c r="BK1125" s="194" t="s">
        <v>1575</v>
      </c>
      <c r="BM1125" s="194" t="s">
        <v>1510</v>
      </c>
    </row>
    <row r="1126" spans="1:67" ht="14.4" hidden="1" thickBot="1">
      <c r="B1126" s="411" t="s">
        <v>1283</v>
      </c>
      <c r="C1126" s="411"/>
      <c r="D1126" s="411"/>
      <c r="E1126" s="411"/>
      <c r="F1126" s="411" t="s">
        <v>1299</v>
      </c>
      <c r="G1126" s="411" t="s">
        <v>1300</v>
      </c>
      <c r="H1126" s="411"/>
      <c r="I1126" s="411"/>
      <c r="J1126" s="411" t="s">
        <v>1311</v>
      </c>
      <c r="K1126" s="411" t="s">
        <v>1312</v>
      </c>
      <c r="L1126" s="411"/>
      <c r="M1126" s="411"/>
      <c r="N1126" s="411"/>
      <c r="O1126" s="412"/>
      <c r="P1126" s="411" t="s">
        <v>1309</v>
      </c>
      <c r="Q1126" s="411" t="s">
        <v>1310</v>
      </c>
      <c r="R1126" s="411" t="s">
        <v>1314</v>
      </c>
      <c r="S1126" s="411" t="s">
        <v>1468</v>
      </c>
      <c r="T1126" s="420" t="s">
        <v>1331</v>
      </c>
      <c r="U1126" s="420" t="s">
        <v>1332</v>
      </c>
      <c r="V1126" s="420" t="s">
        <v>1333</v>
      </c>
      <c r="W1126" s="420" t="s">
        <v>1334</v>
      </c>
      <c r="X1126" s="411" t="s">
        <v>1367</v>
      </c>
      <c r="Y1126" s="411" t="s">
        <v>1465</v>
      </c>
      <c r="Z1126" s="411" t="s">
        <v>1366</v>
      </c>
      <c r="AA1126" s="411" t="s">
        <v>1466</v>
      </c>
      <c r="BA1126" s="420" t="s">
        <v>1364</v>
      </c>
      <c r="BB1126" s="420" t="s">
        <v>1365</v>
      </c>
      <c r="BC1126" s="413" t="s">
        <v>1390</v>
      </c>
      <c r="BD1126" s="413" t="s">
        <v>1391</v>
      </c>
      <c r="BE1126" s="411" t="s">
        <v>1464</v>
      </c>
      <c r="BF1126" s="411" t="s">
        <v>1467</v>
      </c>
      <c r="BG1126" s="432" t="s">
        <v>1469</v>
      </c>
      <c r="BH1126" s="432" t="s">
        <v>1470</v>
      </c>
      <c r="BI1126" s="432" t="s">
        <v>1471</v>
      </c>
      <c r="BJ1126" s="432" t="s">
        <v>1472</v>
      </c>
      <c r="BK1126" s="411" t="s">
        <v>1499</v>
      </c>
      <c r="BL1126" s="411" t="s">
        <v>1500</v>
      </c>
      <c r="BM1126" s="411" t="s">
        <v>1501</v>
      </c>
      <c r="BN1126" s="411" t="s">
        <v>1502</v>
      </c>
    </row>
    <row r="1127" spans="1:67" ht="14.4" hidden="1" thickTop="1">
      <c r="A1127" s="400">
        <v>1</v>
      </c>
      <c r="B1127" s="2" t="s">
        <v>53</v>
      </c>
      <c r="C1127" s="2" t="s">
        <v>1093</v>
      </c>
      <c r="D1127" s="2" t="s">
        <v>991</v>
      </c>
      <c r="F1127" s="401" t="s">
        <v>1327</v>
      </c>
      <c r="G1127" s="416" t="s">
        <v>1415</v>
      </c>
      <c r="H1127" s="401" t="s">
        <v>1410</v>
      </c>
      <c r="I1127" s="416" t="s">
        <v>1414</v>
      </c>
      <c r="J1127" s="401" t="s">
        <v>1325</v>
      </c>
      <c r="K1127" s="416" t="s">
        <v>1326</v>
      </c>
      <c r="L1127" s="401" t="s">
        <v>1405</v>
      </c>
      <c r="M1127" s="416" t="s">
        <v>1408</v>
      </c>
      <c r="N1127" s="47" t="s">
        <v>3</v>
      </c>
      <c r="P1127" s="401" t="s">
        <v>1328</v>
      </c>
      <c r="Q1127" s="416" t="s">
        <v>1872</v>
      </c>
      <c r="R1127" s="401" t="s">
        <v>1871</v>
      </c>
      <c r="S1127" s="416" t="s">
        <v>1337</v>
      </c>
      <c r="T1127" s="421" t="s">
        <v>1330</v>
      </c>
      <c r="U1127" s="422" t="s">
        <v>1873</v>
      </c>
      <c r="V1127" s="423" t="s">
        <v>1329</v>
      </c>
      <c r="W1127" s="422" t="s">
        <v>1874</v>
      </c>
      <c r="X1127" s="437" t="s">
        <v>1457</v>
      </c>
      <c r="Y1127" s="439" t="s">
        <v>1428</v>
      </c>
      <c r="Z1127" s="437" t="s">
        <v>1458</v>
      </c>
      <c r="AA1127" s="439" t="s">
        <v>1429</v>
      </c>
      <c r="BA1127" s="514" t="s">
        <v>1336</v>
      </c>
      <c r="BB1127" s="515" t="s">
        <v>1335</v>
      </c>
      <c r="BC1127" s="446" t="s">
        <v>1991</v>
      </c>
      <c r="BD1127" s="447" t="s">
        <v>1980</v>
      </c>
      <c r="BE1127" s="450" t="s">
        <v>1534</v>
      </c>
      <c r="BF1127" s="451" t="s">
        <v>1535</v>
      </c>
      <c r="BG1127" s="442" t="s">
        <v>1476</v>
      </c>
      <c r="BH1127" s="443" t="s">
        <v>1409</v>
      </c>
      <c r="BI1127" s="442" t="s">
        <v>200</v>
      </c>
      <c r="BJ1127" s="443" t="s">
        <v>1473</v>
      </c>
      <c r="BK1127" s="434" t="s">
        <v>1503</v>
      </c>
      <c r="BL1127" s="435" t="s">
        <v>1504</v>
      </c>
      <c r="BM1127" s="434" t="s">
        <v>1506</v>
      </c>
      <c r="BN1127" s="435" t="s">
        <v>1507</v>
      </c>
      <c r="BO1127" s="449" t="str">
        <f>$C1127</f>
        <v>Immigration</v>
      </c>
    </row>
    <row r="1128" spans="1:67" hidden="1">
      <c r="A1128" s="400">
        <v>2</v>
      </c>
      <c r="B1128" s="2" t="s">
        <v>81</v>
      </c>
      <c r="C1128" s="2" t="s">
        <v>1094</v>
      </c>
      <c r="D1128" s="2" t="s">
        <v>992</v>
      </c>
      <c r="F1128" s="401" t="s">
        <v>1868</v>
      </c>
      <c r="G1128" s="416" t="s">
        <v>1396</v>
      </c>
      <c r="H1128" s="401" t="s">
        <v>1867</v>
      </c>
      <c r="I1128" s="416" t="s">
        <v>1842</v>
      </c>
      <c r="J1128" s="401" t="s">
        <v>1406</v>
      </c>
      <c r="K1128" s="416" t="s">
        <v>1389</v>
      </c>
      <c r="L1128" s="401" t="s">
        <v>1843</v>
      </c>
      <c r="M1128" s="416" t="s">
        <v>1407</v>
      </c>
      <c r="N1128" s="47" t="s">
        <v>3</v>
      </c>
      <c r="P1128" s="401" t="s">
        <v>1866</v>
      </c>
      <c r="Q1128" s="416" t="s">
        <v>1857</v>
      </c>
      <c r="R1128" s="401" t="s">
        <v>1452</v>
      </c>
      <c r="S1128" s="416" t="s">
        <v>1870</v>
      </c>
      <c r="T1128" s="424" t="s">
        <v>1893</v>
      </c>
      <c r="U1128" s="425" t="s">
        <v>1895</v>
      </c>
      <c r="V1128" s="426" t="s">
        <v>1894</v>
      </c>
      <c r="W1128" s="425" t="s">
        <v>1927</v>
      </c>
      <c r="X1128" s="438" t="s">
        <v>1429</v>
      </c>
      <c r="Y1128" s="439" t="s">
        <v>2000</v>
      </c>
      <c r="Z1128" s="437" t="s">
        <v>1463</v>
      </c>
      <c r="AA1128" s="439" t="s">
        <v>1429</v>
      </c>
      <c r="BA1128" s="516" t="s">
        <v>3</v>
      </c>
      <c r="BB1128" s="517"/>
      <c r="BC1128" s="446" t="s">
        <v>1992</v>
      </c>
      <c r="BD1128" s="447" t="s">
        <v>1981</v>
      </c>
      <c r="BE1128" s="452" t="s">
        <v>1536</v>
      </c>
      <c r="BF1128" s="453" t="s">
        <v>1537</v>
      </c>
      <c r="BG1128" s="444" t="s">
        <v>1475</v>
      </c>
      <c r="BH1128" s="445" t="s">
        <v>200</v>
      </c>
      <c r="BI1128" s="444" t="s">
        <v>563</v>
      </c>
      <c r="BJ1128" s="445" t="s">
        <v>1514</v>
      </c>
      <c r="BK1128" s="434" t="s">
        <v>1557</v>
      </c>
      <c r="BL1128" s="435" t="s">
        <v>1509</v>
      </c>
      <c r="BM1128" s="434" t="s">
        <v>1505</v>
      </c>
      <c r="BN1128" s="435" t="s">
        <v>1508</v>
      </c>
      <c r="BO1128" s="449" t="str">
        <f t="shared" ref="BO1128:BO1138" si="10">$C1128</f>
        <v>Climate change</v>
      </c>
    </row>
    <row r="1129" spans="1:67" hidden="1">
      <c r="A1129" s="400">
        <v>3</v>
      </c>
      <c r="B1129" s="2" t="s">
        <v>82</v>
      </c>
      <c r="C1129" s="2" t="s">
        <v>1095</v>
      </c>
      <c r="D1129" s="2" t="s">
        <v>993</v>
      </c>
      <c r="F1129" s="401" t="s">
        <v>1387</v>
      </c>
      <c r="G1129" s="416" t="s">
        <v>1388</v>
      </c>
      <c r="H1129" s="401" t="s">
        <v>1418</v>
      </c>
      <c r="I1129" s="416" t="s">
        <v>1419</v>
      </c>
      <c r="J1129" s="401" t="s">
        <v>1400</v>
      </c>
      <c r="K1129" s="416" t="s">
        <v>1399</v>
      </c>
      <c r="L1129" s="401" t="s">
        <v>1844</v>
      </c>
      <c r="M1129" s="416" t="s">
        <v>1409</v>
      </c>
      <c r="N1129" s="47" t="s">
        <v>3</v>
      </c>
      <c r="P1129" s="401" t="s">
        <v>1757</v>
      </c>
      <c r="Q1129" s="416" t="s">
        <v>1445</v>
      </c>
      <c r="R1129" s="401" t="s">
        <v>1446</v>
      </c>
      <c r="S1129" s="498" t="s">
        <v>1955</v>
      </c>
      <c r="T1129" s="427" t="s">
        <v>1896</v>
      </c>
      <c r="U1129" s="425" t="s">
        <v>1898</v>
      </c>
      <c r="V1129" s="428" t="s">
        <v>1928</v>
      </c>
      <c r="W1129" s="425" t="s">
        <v>1897</v>
      </c>
      <c r="X1129" s="437" t="s">
        <v>1427</v>
      </c>
      <c r="Y1129" s="439" t="s">
        <v>1427</v>
      </c>
      <c r="Z1129" s="437" t="s">
        <v>1428</v>
      </c>
      <c r="AA1129" s="439" t="s">
        <v>1428</v>
      </c>
      <c r="BA1129" s="516" t="s">
        <v>3</v>
      </c>
      <c r="BB1129" s="517"/>
      <c r="BC1129" s="446" t="s">
        <v>1993</v>
      </c>
      <c r="BD1129" s="447" t="s">
        <v>1982</v>
      </c>
      <c r="BE1129" s="452" t="s">
        <v>1538</v>
      </c>
      <c r="BF1129" s="453" t="s">
        <v>1539</v>
      </c>
      <c r="BG1129" s="444" t="s">
        <v>1512</v>
      </c>
      <c r="BH1129" s="445" t="s">
        <v>1409</v>
      </c>
      <c r="BI1129" s="444" t="s">
        <v>563</v>
      </c>
      <c r="BJ1129" s="445" t="s">
        <v>1473</v>
      </c>
      <c r="BK1129" s="436" t="s">
        <v>1558</v>
      </c>
      <c r="BL1129" s="435" t="s">
        <v>1559</v>
      </c>
      <c r="BM1129" s="436" t="s">
        <v>1445</v>
      </c>
      <c r="BN1129" s="435" t="s">
        <v>1576</v>
      </c>
      <c r="BO1129" s="449" t="str">
        <f t="shared" si="10"/>
        <v>Gun safety</v>
      </c>
    </row>
    <row r="1130" spans="1:67" hidden="1">
      <c r="A1130" s="400">
        <v>4</v>
      </c>
      <c r="B1130" s="2" t="s">
        <v>83</v>
      </c>
      <c r="C1130" s="2" t="s">
        <v>1096</v>
      </c>
      <c r="D1130" s="2" t="s">
        <v>994</v>
      </c>
      <c r="F1130" s="401" t="s">
        <v>1301</v>
      </c>
      <c r="G1130" s="416" t="s">
        <v>1308</v>
      </c>
      <c r="H1130" s="401" t="s">
        <v>1306</v>
      </c>
      <c r="I1130" s="416" t="s">
        <v>1307</v>
      </c>
      <c r="J1130" s="401" t="s">
        <v>1302</v>
      </c>
      <c r="K1130" s="416" t="s">
        <v>1303</v>
      </c>
      <c r="L1130" s="401" t="s">
        <v>1304</v>
      </c>
      <c r="M1130" s="416" t="s">
        <v>1305</v>
      </c>
      <c r="N1130" s="47" t="s">
        <v>3</v>
      </c>
      <c r="P1130" s="401" t="s">
        <v>1589</v>
      </c>
      <c r="Q1130" s="416" t="s">
        <v>1590</v>
      </c>
      <c r="R1130" s="401" t="s">
        <v>1315</v>
      </c>
      <c r="S1130" s="416" t="s">
        <v>1316</v>
      </c>
      <c r="T1130" s="427" t="s">
        <v>1901</v>
      </c>
      <c r="U1130" s="425" t="s">
        <v>1900</v>
      </c>
      <c r="V1130" s="426" t="s">
        <v>1902</v>
      </c>
      <c r="W1130" s="425" t="s">
        <v>1899</v>
      </c>
      <c r="X1130" s="437" t="s">
        <v>1429</v>
      </c>
      <c r="Y1130" s="439" t="s">
        <v>1459</v>
      </c>
      <c r="Z1130" s="437" t="s">
        <v>564</v>
      </c>
      <c r="AA1130" s="439" t="s">
        <v>1460</v>
      </c>
      <c r="BA1130" s="516" t="s">
        <v>3</v>
      </c>
      <c r="BB1130" s="517"/>
      <c r="BC1130" s="446" t="s">
        <v>1994</v>
      </c>
      <c r="BD1130" s="447" t="s">
        <v>1983</v>
      </c>
      <c r="BE1130" s="452" t="s">
        <v>1540</v>
      </c>
      <c r="BF1130" s="453" t="s">
        <v>1541</v>
      </c>
      <c r="BG1130" s="444" t="s">
        <v>1425</v>
      </c>
      <c r="BH1130" s="445" t="s">
        <v>198</v>
      </c>
      <c r="BI1130" s="444" t="s">
        <v>1533</v>
      </c>
      <c r="BJ1130" s="445" t="s">
        <v>1513</v>
      </c>
      <c r="BK1130" s="436" t="s">
        <v>1560</v>
      </c>
      <c r="BL1130" s="435" t="s">
        <v>1561</v>
      </c>
      <c r="BM1130" s="436" t="s">
        <v>1578</v>
      </c>
      <c r="BN1130" s="435" t="s">
        <v>1577</v>
      </c>
      <c r="BO1130" s="449" t="str">
        <f t="shared" si="10"/>
        <v>Abortion</v>
      </c>
    </row>
    <row r="1131" spans="1:67" hidden="1">
      <c r="A1131" s="400">
        <v>5</v>
      </c>
      <c r="B1131" s="2" t="s">
        <v>84</v>
      </c>
      <c r="C1131" s="2" t="s">
        <v>1097</v>
      </c>
      <c r="D1131" s="2" t="s">
        <v>995</v>
      </c>
      <c r="F1131" s="401" t="s">
        <v>1398</v>
      </c>
      <c r="G1131" s="416" t="s">
        <v>1397</v>
      </c>
      <c r="H1131" s="401" t="s">
        <v>1847</v>
      </c>
      <c r="I1131" s="416" t="s">
        <v>1846</v>
      </c>
      <c r="J1131" s="401" t="s">
        <v>1394</v>
      </c>
      <c r="K1131" s="416" t="s">
        <v>1395</v>
      </c>
      <c r="L1131" s="401" t="s">
        <v>1425</v>
      </c>
      <c r="M1131" s="416" t="s">
        <v>1426</v>
      </c>
      <c r="N1131" s="47" t="s">
        <v>3</v>
      </c>
      <c r="O1131" s="416"/>
      <c r="P1131" s="401" t="s">
        <v>1865</v>
      </c>
      <c r="Q1131" s="416" t="s">
        <v>1758</v>
      </c>
      <c r="R1131" s="401" t="s">
        <v>1759</v>
      </c>
      <c r="S1131" s="416" t="s">
        <v>1956</v>
      </c>
      <c r="T1131" s="424" t="s">
        <v>1903</v>
      </c>
      <c r="U1131" s="425" t="s">
        <v>1904</v>
      </c>
      <c r="V1131" s="426" t="s">
        <v>1889</v>
      </c>
      <c r="W1131" s="425" t="s">
        <v>1888</v>
      </c>
      <c r="X1131" s="437" t="s">
        <v>1490</v>
      </c>
      <c r="Y1131" s="439" t="s">
        <v>1496</v>
      </c>
      <c r="Z1131" s="437" t="s">
        <v>1428</v>
      </c>
      <c r="AA1131" s="439" t="s">
        <v>1497</v>
      </c>
      <c r="BA1131" s="516" t="s">
        <v>3</v>
      </c>
      <c r="BB1131" s="517"/>
      <c r="BC1131" s="446" t="s">
        <v>1995</v>
      </c>
      <c r="BD1131" s="447" t="s">
        <v>1984</v>
      </c>
      <c r="BE1131" s="452" t="s">
        <v>1542</v>
      </c>
      <c r="BF1131" s="453" t="s">
        <v>1543</v>
      </c>
      <c r="BG1131" s="444" t="s">
        <v>1425</v>
      </c>
      <c r="BH1131" s="445" t="s">
        <v>1519</v>
      </c>
      <c r="BI1131" s="444" t="s">
        <v>1530</v>
      </c>
      <c r="BJ1131" s="445" t="s">
        <v>1531</v>
      </c>
      <c r="BK1131" s="436" t="s">
        <v>1887</v>
      </c>
      <c r="BL1131" s="435" t="s">
        <v>1562</v>
      </c>
      <c r="BM1131" s="436" t="s">
        <v>1579</v>
      </c>
      <c r="BN1131" s="435" t="s">
        <v>1447</v>
      </c>
      <c r="BO1131" s="449" t="str">
        <f t="shared" si="10"/>
        <v>Healthcare</v>
      </c>
    </row>
    <row r="1132" spans="1:67" hidden="1">
      <c r="A1132" s="400">
        <v>6</v>
      </c>
      <c r="B1132" s="2" t="s">
        <v>85</v>
      </c>
      <c r="C1132" s="2" t="s">
        <v>1098</v>
      </c>
      <c r="D1132" s="2" t="s">
        <v>996</v>
      </c>
      <c r="F1132" s="401" t="s">
        <v>1401</v>
      </c>
      <c r="G1132" s="416" t="s">
        <v>1402</v>
      </c>
      <c r="H1132" s="401" t="s">
        <v>1411</v>
      </c>
      <c r="I1132" s="416" t="s">
        <v>1848</v>
      </c>
      <c r="J1132" s="401" t="s">
        <v>1437</v>
      </c>
      <c r="K1132" s="416" t="s">
        <v>1436</v>
      </c>
      <c r="L1132" s="401" t="s">
        <v>1849</v>
      </c>
      <c r="M1132" s="416" t="s">
        <v>1850</v>
      </c>
      <c r="N1132" s="47" t="s">
        <v>3</v>
      </c>
      <c r="P1132" s="401" t="s">
        <v>1760</v>
      </c>
      <c r="Q1132" s="416" t="s">
        <v>1448</v>
      </c>
      <c r="R1132" s="401" t="s">
        <v>1880</v>
      </c>
      <c r="S1132" s="416" t="s">
        <v>1879</v>
      </c>
      <c r="T1132" s="424" t="s">
        <v>1882</v>
      </c>
      <c r="U1132" s="425" t="s">
        <v>1881</v>
      </c>
      <c r="V1132" s="426" t="s">
        <v>1878</v>
      </c>
      <c r="W1132" s="425" t="s">
        <v>1883</v>
      </c>
      <c r="X1132" s="437" t="s">
        <v>1488</v>
      </c>
      <c r="Y1132" s="439" t="s">
        <v>1487</v>
      </c>
      <c r="Z1132" s="437" t="s">
        <v>1489</v>
      </c>
      <c r="AA1132" s="439" t="s">
        <v>1486</v>
      </c>
      <c r="BA1132" s="516" t="s">
        <v>3</v>
      </c>
      <c r="BB1132" s="517"/>
      <c r="BC1132" s="446" t="s">
        <v>1996</v>
      </c>
      <c r="BD1132" s="447" t="s">
        <v>1985</v>
      </c>
      <c r="BE1132" s="452" t="s">
        <v>1544</v>
      </c>
      <c r="BF1132" s="453" t="s">
        <v>1877</v>
      </c>
      <c r="BG1132" s="444" t="s">
        <v>579</v>
      </c>
      <c r="BH1132" s="445" t="s">
        <v>239</v>
      </c>
      <c r="BI1132" s="444" t="s">
        <v>563</v>
      </c>
      <c r="BJ1132" s="445" t="s">
        <v>1890</v>
      </c>
      <c r="BK1132" s="436" t="s">
        <v>1565</v>
      </c>
      <c r="BL1132" s="435" t="s">
        <v>1947</v>
      </c>
      <c r="BM1132" s="436" t="s">
        <v>1972</v>
      </c>
      <c r="BN1132" s="435" t="s">
        <v>1582</v>
      </c>
      <c r="BO1132" s="449" t="str">
        <f t="shared" si="10"/>
        <v>Criminal justice</v>
      </c>
    </row>
    <row r="1133" spans="1:67" hidden="1">
      <c r="A1133" s="400">
        <v>7</v>
      </c>
      <c r="B1133" s="2" t="s">
        <v>86</v>
      </c>
      <c r="C1133" s="2" t="s">
        <v>1099</v>
      </c>
      <c r="D1133" s="2" t="s">
        <v>1950</v>
      </c>
      <c r="F1133" s="401" t="s">
        <v>1804</v>
      </c>
      <c r="G1133" s="416" t="s">
        <v>1803</v>
      </c>
      <c r="H1133" s="401" t="s">
        <v>1801</v>
      </c>
      <c r="I1133" s="416" t="s">
        <v>1802</v>
      </c>
      <c r="J1133" s="401" t="s">
        <v>1403</v>
      </c>
      <c r="K1133" s="416" t="s">
        <v>1404</v>
      </c>
      <c r="L1133" s="401" t="s">
        <v>1845</v>
      </c>
      <c r="M1133" s="416" t="s">
        <v>1440</v>
      </c>
      <c r="N1133" s="47" t="s">
        <v>3</v>
      </c>
      <c r="P1133" s="401" t="s">
        <v>1449</v>
      </c>
      <c r="Q1133" s="416" t="s">
        <v>1450</v>
      </c>
      <c r="R1133" s="401" t="s">
        <v>1454</v>
      </c>
      <c r="S1133" s="416" t="s">
        <v>1455</v>
      </c>
      <c r="T1133" s="424" t="s">
        <v>1905</v>
      </c>
      <c r="U1133" s="425" t="s">
        <v>1891</v>
      </c>
      <c r="V1133" s="571" t="s">
        <v>1929</v>
      </c>
      <c r="W1133" s="572" t="s">
        <v>1906</v>
      </c>
      <c r="X1133" s="437" t="s">
        <v>1948</v>
      </c>
      <c r="Y1133" s="439" t="s">
        <v>2001</v>
      </c>
      <c r="Z1133" s="437" t="s">
        <v>1949</v>
      </c>
      <c r="AA1133" s="439" t="s">
        <v>1485</v>
      </c>
      <c r="BA1133" s="516" t="s">
        <v>3</v>
      </c>
      <c r="BB1133" s="517"/>
      <c r="BC1133" s="446" t="s">
        <v>1984</v>
      </c>
      <c r="BD1133" s="447" t="s">
        <v>1986</v>
      </c>
      <c r="BE1133" s="452" t="s">
        <v>1545</v>
      </c>
      <c r="BF1133" s="453" t="s">
        <v>1546</v>
      </c>
      <c r="BG1133" s="444" t="s">
        <v>1520</v>
      </c>
      <c r="BH1133" s="445" t="s">
        <v>210</v>
      </c>
      <c r="BI1133" s="444" t="s">
        <v>569</v>
      </c>
      <c r="BJ1133" s="445" t="s">
        <v>1522</v>
      </c>
      <c r="BK1133" s="436" t="s">
        <v>1566</v>
      </c>
      <c r="BL1133" s="435" t="s">
        <v>1564</v>
      </c>
      <c r="BM1133" s="436" t="s">
        <v>1973</v>
      </c>
      <c r="BN1133" s="435" t="s">
        <v>1583</v>
      </c>
      <c r="BO1133" s="449" t="str">
        <f t="shared" si="10"/>
        <v>Economy</v>
      </c>
    </row>
    <row r="1134" spans="1:67" hidden="1">
      <c r="A1134" s="400">
        <v>8</v>
      </c>
      <c r="B1134" s="2" t="s">
        <v>1207</v>
      </c>
      <c r="C1134" s="2" t="s">
        <v>1100</v>
      </c>
      <c r="D1134" s="2" t="s">
        <v>998</v>
      </c>
      <c r="F1134" s="401" t="s">
        <v>1297</v>
      </c>
      <c r="G1134" s="416" t="s">
        <v>1386</v>
      </c>
      <c r="H1134" s="401" t="s">
        <v>1412</v>
      </c>
      <c r="I1134" s="416" t="s">
        <v>1416</v>
      </c>
      <c r="J1134" s="401" t="s">
        <v>1435</v>
      </c>
      <c r="K1134" s="416" t="s">
        <v>1434</v>
      </c>
      <c r="L1134" s="401" t="s">
        <v>1441</v>
      </c>
      <c r="M1134" s="416" t="s">
        <v>1965</v>
      </c>
      <c r="N1134" s="47" t="s">
        <v>3</v>
      </c>
      <c r="P1134" s="401" t="s">
        <v>1761</v>
      </c>
      <c r="Q1134" s="416" t="s">
        <v>1762</v>
      </c>
      <c r="R1134" s="401" t="s">
        <v>1433</v>
      </c>
      <c r="S1134" s="416" t="s">
        <v>1960</v>
      </c>
      <c r="T1134" s="427" t="s">
        <v>1908</v>
      </c>
      <c r="U1134" s="425" t="s">
        <v>1910</v>
      </c>
      <c r="V1134" s="426" t="s">
        <v>1907</v>
      </c>
      <c r="W1134" s="425" t="s">
        <v>1930</v>
      </c>
      <c r="X1134" s="437" t="s">
        <v>1483</v>
      </c>
      <c r="Y1134" s="439" t="s">
        <v>2002</v>
      </c>
      <c r="Z1134" s="437" t="s">
        <v>1484</v>
      </c>
      <c r="AA1134" s="439" t="s">
        <v>1481</v>
      </c>
      <c r="BA1134" s="516" t="s">
        <v>3</v>
      </c>
      <c r="BB1134" s="517" t="s">
        <v>1753</v>
      </c>
      <c r="BC1134" s="446" t="s">
        <v>1996</v>
      </c>
      <c r="BD1134" s="447" t="s">
        <v>1987</v>
      </c>
      <c r="BE1134" s="452" t="s">
        <v>1547</v>
      </c>
      <c r="BF1134" s="453" t="s">
        <v>1548</v>
      </c>
      <c r="BG1134" s="444" t="s">
        <v>1521</v>
      </c>
      <c r="BH1134" s="445" t="s">
        <v>569</v>
      </c>
      <c r="BI1134" s="444" t="s">
        <v>569</v>
      </c>
      <c r="BJ1134" s="445" t="s">
        <v>1524</v>
      </c>
      <c r="BK1134" s="436" t="s">
        <v>1567</v>
      </c>
      <c r="BL1134" s="435" t="s">
        <v>1568</v>
      </c>
      <c r="BM1134" s="436" t="s">
        <v>1974</v>
      </c>
      <c r="BN1134" s="435" t="s">
        <v>1584</v>
      </c>
      <c r="BO1134" s="449" t="str">
        <f t="shared" si="10"/>
        <v>Racism</v>
      </c>
    </row>
    <row r="1135" spans="1:67" hidden="1">
      <c r="A1135" s="400">
        <v>9</v>
      </c>
      <c r="B1135" s="2" t="s">
        <v>1284</v>
      </c>
      <c r="C1135" s="2" t="s">
        <v>1287</v>
      </c>
      <c r="D1135" s="2" t="s">
        <v>1290</v>
      </c>
      <c r="F1135" s="401" t="s">
        <v>1318</v>
      </c>
      <c r="G1135" s="416" t="s">
        <v>1319</v>
      </c>
      <c r="H1135" s="401" t="s">
        <v>1413</v>
      </c>
      <c r="I1135" s="416" t="s">
        <v>1417</v>
      </c>
      <c r="J1135" s="401" t="s">
        <v>1297</v>
      </c>
      <c r="K1135" s="416" t="s">
        <v>1298</v>
      </c>
      <c r="L1135" s="401" t="s">
        <v>1966</v>
      </c>
      <c r="M1135" s="416" t="s">
        <v>1851</v>
      </c>
      <c r="N1135" s="47" t="s">
        <v>3</v>
      </c>
      <c r="P1135" s="401" t="s">
        <v>1320</v>
      </c>
      <c r="Q1135" s="416" t="s">
        <v>1852</v>
      </c>
      <c r="R1135" s="401" t="s">
        <v>1453</v>
      </c>
      <c r="S1135" s="416" t="s">
        <v>1959</v>
      </c>
      <c r="T1135" s="424" t="s">
        <v>1912</v>
      </c>
      <c r="U1135" s="425" t="s">
        <v>1915</v>
      </c>
      <c r="V1135" s="426" t="s">
        <v>1913</v>
      </c>
      <c r="W1135" s="425" t="s">
        <v>1914</v>
      </c>
      <c r="X1135" s="437" t="s">
        <v>1492</v>
      </c>
      <c r="Y1135" s="439" t="s">
        <v>1497</v>
      </c>
      <c r="Z1135" s="437" t="s">
        <v>1489</v>
      </c>
      <c r="AA1135" s="439" t="s">
        <v>1498</v>
      </c>
      <c r="BA1135" s="518" t="s">
        <v>1358</v>
      </c>
      <c r="BB1135" s="517"/>
      <c r="BC1135" s="446" t="s">
        <v>1997</v>
      </c>
      <c r="BD1135" s="447" t="s">
        <v>1988</v>
      </c>
      <c r="BE1135" s="452" t="s">
        <v>1549</v>
      </c>
      <c r="BF1135" s="453" t="s">
        <v>1550</v>
      </c>
      <c r="BG1135" s="444" t="s">
        <v>1512</v>
      </c>
      <c r="BH1135" s="445" t="s">
        <v>239</v>
      </c>
      <c r="BI1135" s="444" t="s">
        <v>562</v>
      </c>
      <c r="BJ1135" s="445" t="s">
        <v>1525</v>
      </c>
      <c r="BK1135" s="436" t="s">
        <v>1563</v>
      </c>
      <c r="BL1135" s="435" t="s">
        <v>1569</v>
      </c>
      <c r="BM1135" s="436" t="s">
        <v>1580</v>
      </c>
      <c r="BN1135" s="435" t="s">
        <v>1585</v>
      </c>
      <c r="BO1135" s="449" t="str">
        <f t="shared" si="10"/>
        <v>Police brutality</v>
      </c>
    </row>
    <row r="1136" spans="1:67" hidden="1">
      <c r="A1136" s="400">
        <v>10</v>
      </c>
      <c r="B1136" s="2" t="s">
        <v>1285</v>
      </c>
      <c r="C1136" s="2" t="s">
        <v>1288</v>
      </c>
      <c r="D1136" s="2" t="s">
        <v>1291</v>
      </c>
      <c r="F1136" s="401" t="s">
        <v>1293</v>
      </c>
      <c r="G1136" s="416" t="s">
        <v>1294</v>
      </c>
      <c r="H1136" s="401" t="s">
        <v>1295</v>
      </c>
      <c r="I1136" s="416" t="s">
        <v>1296</v>
      </c>
      <c r="J1136" s="401" t="s">
        <v>1438</v>
      </c>
      <c r="K1136" s="416" t="s">
        <v>1439</v>
      </c>
      <c r="L1136" s="401" t="s">
        <v>1967</v>
      </c>
      <c r="M1136" s="416" t="s">
        <v>1968</v>
      </c>
      <c r="N1136" s="47" t="s">
        <v>3</v>
      </c>
      <c r="P1136" s="401" t="s">
        <v>1763</v>
      </c>
      <c r="Q1136" s="416" t="s">
        <v>1442</v>
      </c>
      <c r="R1136" s="497" t="s">
        <v>1764</v>
      </c>
      <c r="S1136" s="416" t="s">
        <v>1954</v>
      </c>
      <c r="T1136" s="427" t="s">
        <v>1919</v>
      </c>
      <c r="U1136" s="425" t="s">
        <v>1917</v>
      </c>
      <c r="V1136" s="428" t="s">
        <v>1916</v>
      </c>
      <c r="W1136" s="425" t="s">
        <v>1918</v>
      </c>
      <c r="X1136" s="437" t="s">
        <v>1479</v>
      </c>
      <c r="Y1136" s="439" t="s">
        <v>1480</v>
      </c>
      <c r="Z1136" s="437" t="s">
        <v>1491</v>
      </c>
      <c r="AA1136" s="439" t="s">
        <v>1491</v>
      </c>
      <c r="BA1136" s="516" t="s">
        <v>3</v>
      </c>
      <c r="BB1136" s="517" t="s">
        <v>1430</v>
      </c>
      <c r="BC1136" s="448" t="s">
        <v>1989</v>
      </c>
      <c r="BD1136" s="447" t="s">
        <v>1989</v>
      </c>
      <c r="BE1136" s="452" t="s">
        <v>1551</v>
      </c>
      <c r="BF1136" s="453" t="s">
        <v>1552</v>
      </c>
      <c r="BG1136" s="444" t="s">
        <v>1425</v>
      </c>
      <c r="BH1136" s="445" t="s">
        <v>198</v>
      </c>
      <c r="BI1136" s="444" t="s">
        <v>1532</v>
      </c>
      <c r="BJ1136" s="445" t="s">
        <v>1526</v>
      </c>
      <c r="BK1136" s="434" t="s">
        <v>1571</v>
      </c>
      <c r="BL1136" s="435" t="s">
        <v>1570</v>
      </c>
      <c r="BM1136" s="436" t="s">
        <v>1581</v>
      </c>
      <c r="BN1136" s="435" t="s">
        <v>1586</v>
      </c>
      <c r="BO1136" s="449" t="str">
        <f t="shared" si="10"/>
        <v>Voting fairness</v>
      </c>
    </row>
    <row r="1137" spans="1:67" hidden="1">
      <c r="A1137" s="400">
        <v>11</v>
      </c>
      <c r="B1137" s="2" t="s">
        <v>1286</v>
      </c>
      <c r="C1137" s="2" t="s">
        <v>1289</v>
      </c>
      <c r="D1137" s="2" t="s">
        <v>1292</v>
      </c>
      <c r="F1137" s="401" t="s">
        <v>1798</v>
      </c>
      <c r="G1137" s="416" t="s">
        <v>1799</v>
      </c>
      <c r="H1137" s="401" t="s">
        <v>1800</v>
      </c>
      <c r="I1137" s="416" t="s">
        <v>1856</v>
      </c>
      <c r="J1137" s="401" t="s">
        <v>1431</v>
      </c>
      <c r="K1137" s="416" t="s">
        <v>1432</v>
      </c>
      <c r="L1137" s="401" t="s">
        <v>1853</v>
      </c>
      <c r="M1137" s="416" t="s">
        <v>1854</v>
      </c>
      <c r="N1137" s="47" t="s">
        <v>3</v>
      </c>
      <c r="P1137" s="401" t="s">
        <v>1451</v>
      </c>
      <c r="Q1137" s="416" t="s">
        <v>1857</v>
      </c>
      <c r="R1137" s="401" t="s">
        <v>1957</v>
      </c>
      <c r="S1137" s="416" t="s">
        <v>1317</v>
      </c>
      <c r="T1137" s="427" t="s">
        <v>1920</v>
      </c>
      <c r="U1137" s="425" t="s">
        <v>1922</v>
      </c>
      <c r="V1137" s="426" t="s">
        <v>1921</v>
      </c>
      <c r="W1137" s="425" t="s">
        <v>1931</v>
      </c>
      <c r="X1137" s="437" t="s">
        <v>1368</v>
      </c>
      <c r="Y1137" s="439" t="s">
        <v>1368</v>
      </c>
      <c r="Z1137" s="437" t="s">
        <v>1498</v>
      </c>
      <c r="AA1137" s="439" t="s">
        <v>1369</v>
      </c>
      <c r="BA1137" s="516" t="s">
        <v>3</v>
      </c>
      <c r="BB1137" s="517"/>
      <c r="BC1137" s="446" t="s">
        <v>1998</v>
      </c>
      <c r="BD1137" s="447" t="s">
        <v>1990</v>
      </c>
      <c r="BE1137" s="452" t="s">
        <v>1553</v>
      </c>
      <c r="BF1137" s="453" t="s">
        <v>1554</v>
      </c>
      <c r="BG1137" s="444" t="s">
        <v>1523</v>
      </c>
      <c r="BH1137" s="445" t="s">
        <v>1527</v>
      </c>
      <c r="BI1137" s="444" t="s">
        <v>563</v>
      </c>
      <c r="BJ1137" s="445" t="s">
        <v>1528</v>
      </c>
      <c r="BK1137" s="434" t="s">
        <v>1572</v>
      </c>
      <c r="BL1137" s="435" t="s">
        <v>1573</v>
      </c>
      <c r="BM1137" s="436" t="s">
        <v>1975</v>
      </c>
      <c r="BN1137" s="435" t="s">
        <v>1587</v>
      </c>
      <c r="BO1137" s="449" t="str">
        <f t="shared" si="10"/>
        <v>Covid safety</v>
      </c>
    </row>
    <row r="1138" spans="1:67" hidden="1">
      <c r="A1138" s="400">
        <v>12</v>
      </c>
      <c r="B1138" s="2" t="s">
        <v>1859</v>
      </c>
      <c r="C1138" s="2" t="s">
        <v>1860</v>
      </c>
      <c r="D1138" s="2" t="s">
        <v>1858</v>
      </c>
      <c r="F1138" s="401" t="s">
        <v>1862</v>
      </c>
      <c r="G1138" s="416" t="s">
        <v>1392</v>
      </c>
      <c r="H1138" s="401" t="s">
        <v>1861</v>
      </c>
      <c r="I1138" s="416" t="s">
        <v>1393</v>
      </c>
      <c r="J1138" s="401" t="s">
        <v>1421</v>
      </c>
      <c r="K1138" s="416" t="s">
        <v>1422</v>
      </c>
      <c r="L1138" s="401" t="s">
        <v>1443</v>
      </c>
      <c r="M1138" s="416" t="s">
        <v>1444</v>
      </c>
      <c r="N1138" s="47" t="s">
        <v>3</v>
      </c>
      <c r="P1138" s="401" t="s">
        <v>1765</v>
      </c>
      <c r="Q1138" s="416" t="s">
        <v>1766</v>
      </c>
      <c r="R1138" s="401" t="s">
        <v>1952</v>
      </c>
      <c r="S1138" s="498" t="s">
        <v>1953</v>
      </c>
      <c r="T1138" s="429" t="s">
        <v>1923</v>
      </c>
      <c r="U1138" s="430" t="s">
        <v>1924</v>
      </c>
      <c r="V1138" s="431" t="s">
        <v>1926</v>
      </c>
      <c r="W1138" s="430" t="s">
        <v>1925</v>
      </c>
      <c r="X1138" s="437" t="s">
        <v>1368</v>
      </c>
      <c r="Y1138" s="439" t="s">
        <v>1494</v>
      </c>
      <c r="Z1138" s="437" t="s">
        <v>1495</v>
      </c>
      <c r="AA1138" s="439" t="s">
        <v>1493</v>
      </c>
      <c r="BA1138" s="519" t="s">
        <v>1420</v>
      </c>
      <c r="BB1138" s="520"/>
      <c r="BC1138" s="446" t="s">
        <v>1999</v>
      </c>
      <c r="BD1138" s="447" t="s">
        <v>1979</v>
      </c>
      <c r="BE1138" s="452" t="s">
        <v>1555</v>
      </c>
      <c r="BF1138" s="453" t="s">
        <v>1556</v>
      </c>
      <c r="BG1138" s="444" t="s">
        <v>1425</v>
      </c>
      <c r="BH1138" s="445" t="s">
        <v>567</v>
      </c>
      <c r="BI1138" s="444" t="s">
        <v>567</v>
      </c>
      <c r="BJ1138" s="445" t="s">
        <v>1529</v>
      </c>
      <c r="BK1138" s="434" t="s">
        <v>1574</v>
      </c>
      <c r="BL1138" s="435" t="s">
        <v>1977</v>
      </c>
      <c r="BM1138" s="436" t="s">
        <v>1971</v>
      </c>
      <c r="BN1138" s="435" t="s">
        <v>1978</v>
      </c>
      <c r="BO1138" s="449" t="str">
        <f t="shared" si="10"/>
        <v>Public speech</v>
      </c>
    </row>
    <row r="1139" spans="1:67" hidden="1">
      <c r="A1139" s="400">
        <v>13</v>
      </c>
      <c r="D1139" s="575" t="s">
        <v>1933</v>
      </c>
      <c r="E1139" s="575"/>
    </row>
    <row r="1140" spans="1:67" hidden="1">
      <c r="A1140" s="400">
        <v>14</v>
      </c>
      <c r="D1140" s="575" t="s">
        <v>1909</v>
      </c>
      <c r="E1140" s="575"/>
      <c r="U1140" s="575" t="s">
        <v>1911</v>
      </c>
      <c r="X1140" s="437" t="s">
        <v>1482</v>
      </c>
    </row>
    <row r="1141" spans="1:67" hidden="1">
      <c r="A1141" s="400">
        <v>15</v>
      </c>
      <c r="D1141" s="575" t="s">
        <v>1932</v>
      </c>
      <c r="E1141" s="575"/>
    </row>
    <row r="1142" spans="1:67" hidden="1">
      <c r="A1142" s="400">
        <v>16</v>
      </c>
      <c r="D1142" s="575" t="s">
        <v>1934</v>
      </c>
      <c r="E1142" s="575"/>
    </row>
    <row r="1143" spans="1:67" hidden="1">
      <c r="A1143" s="400">
        <v>17</v>
      </c>
      <c r="D1143" s="575" t="s">
        <v>1935</v>
      </c>
      <c r="E1143" s="575"/>
    </row>
    <row r="1144" spans="1:67" hidden="1">
      <c r="A1144" s="400">
        <v>18</v>
      </c>
      <c r="D1144" s="575" t="s">
        <v>1936</v>
      </c>
      <c r="E1144" s="575"/>
    </row>
    <row r="1145" spans="1:67" hidden="1">
      <c r="A1145" s="400">
        <v>19</v>
      </c>
      <c r="D1145" s="575" t="s">
        <v>1937</v>
      </c>
      <c r="E1145" s="575"/>
    </row>
    <row r="1146" spans="1:67" hidden="1">
      <c r="A1146" s="400">
        <v>20</v>
      </c>
      <c r="D1146" s="575" t="s">
        <v>1938</v>
      </c>
      <c r="E1146" s="575"/>
    </row>
    <row r="1147" spans="1:67" hidden="1">
      <c r="A1147" s="400">
        <v>21</v>
      </c>
      <c r="D1147" s="575" t="s">
        <v>1939</v>
      </c>
      <c r="E1147" s="575"/>
    </row>
    <row r="1148" spans="1:67" hidden="1">
      <c r="A1148" s="400">
        <v>22</v>
      </c>
      <c r="D1148" s="575" t="s">
        <v>1940</v>
      </c>
      <c r="E1148" s="575"/>
    </row>
    <row r="1149" spans="1:67" hidden="1">
      <c r="A1149" s="400">
        <v>23</v>
      </c>
      <c r="D1149" s="575" t="s">
        <v>1941</v>
      </c>
      <c r="E1149" s="575"/>
    </row>
    <row r="1150" spans="1:67" hidden="1">
      <c r="A1150" s="400">
        <v>24</v>
      </c>
      <c r="D1150" s="575" t="s">
        <v>1942</v>
      </c>
      <c r="E1150" s="575"/>
    </row>
    <row r="1151" spans="1:67" hidden="1">
      <c r="D1151" s="575" t="s">
        <v>1944</v>
      </c>
      <c r="E1151" s="575"/>
      <c r="F1151" s="575" t="s">
        <v>1884</v>
      </c>
      <c r="G1151" s="575" t="s">
        <v>1885</v>
      </c>
    </row>
    <row r="1152" spans="1:67" hidden="1"/>
    <row r="1153" spans="2:56" hidden="1">
      <c r="T1153" s="575" t="s">
        <v>1884</v>
      </c>
      <c r="U1153" s="575" t="s">
        <v>1885</v>
      </c>
    </row>
    <row r="1154" spans="2:56" hidden="1">
      <c r="T1154" s="575" t="s">
        <v>1886</v>
      </c>
      <c r="U1154" s="575" t="s">
        <v>1945</v>
      </c>
    </row>
    <row r="1155" spans="2:56" hidden="1"/>
    <row r="1156" spans="2:56" hidden="1"/>
    <row r="1157" spans="2:56" ht="14.4" hidden="1">
      <c r="B1157" s="575" t="s">
        <v>1138</v>
      </c>
      <c r="C1157" s="575" t="s">
        <v>1355</v>
      </c>
      <c r="D1157" s="575" t="s">
        <v>1356</v>
      </c>
      <c r="E1157" s="575"/>
      <c r="F1157" s="575" t="s">
        <v>1323</v>
      </c>
      <c r="G1157" s="575" t="s">
        <v>1324</v>
      </c>
      <c r="H1157" s="575"/>
      <c r="I1157" s="575"/>
      <c r="J1157" s="575" t="s">
        <v>1321</v>
      </c>
      <c r="K1157" s="575" t="s">
        <v>1322</v>
      </c>
      <c r="L1157" s="575"/>
      <c r="M1157" s="575"/>
      <c r="P1157"/>
    </row>
    <row r="1158" spans="2:56" hidden="1"/>
    <row r="1159" spans="2:56" hidden="1">
      <c r="B1159" s="37" t="str">
        <f>IF(G298=B1160,B1160,IF(G298=B1161,B1161,IF(G298=B1162,B1162,"")))</f>
        <v>yes</v>
      </c>
    </row>
    <row r="1160" spans="2:56" hidden="1">
      <c r="B1160" s="2" t="s">
        <v>43</v>
      </c>
      <c r="E1160" s="566">
        <f>IF(G298=B1160,1,IF(G298=B1161,-1,IF(G298=B1162,0,"")))</f>
        <v>1</v>
      </c>
    </row>
    <row r="1161" spans="2:56" hidden="1">
      <c r="B1161" s="2" t="s">
        <v>44</v>
      </c>
    </row>
    <row r="1162" spans="2:56" hidden="1">
      <c r="B1162" s="2" t="s">
        <v>1363</v>
      </c>
    </row>
    <row r="1163" spans="2:56" hidden="1"/>
    <row r="1164" spans="2:56" hidden="1">
      <c r="B1164" s="37" t="str">
        <f>IF(G300=B1165,B1165,IF(G300=B1166,B1166,IF(G300=B1167,B1167,"")))</f>
        <v>more general than specific</v>
      </c>
    </row>
    <row r="1165" spans="2:56" ht="14.4" hidden="1">
      <c r="B1165" s="2" t="s">
        <v>1359</v>
      </c>
      <c r="E1165" s="566">
        <f>IF(G300=B1165,1,IF(G300=B1166,-1,IF(G300=B1167,0,0)))</f>
        <v>1</v>
      </c>
      <c r="G1165" s="2" t="str">
        <f>IF((E1165+E1170)&gt;1,"prone to…","")</f>
        <v>prone to…</v>
      </c>
      <c r="BC1165"/>
    </row>
    <row r="1166" spans="2:56" hidden="1">
      <c r="B1166" s="2" t="s">
        <v>1361</v>
      </c>
    </row>
    <row r="1167" spans="2:56" ht="14.4" hidden="1">
      <c r="B1167" s="2" t="s">
        <v>1363</v>
      </c>
      <c r="BD1167"/>
    </row>
    <row r="1168" spans="2:56" ht="14.4" hidden="1">
      <c r="Y1168"/>
    </row>
    <row r="1169" spans="2:56" ht="14.4" hidden="1">
      <c r="B1169" s="37" t="str">
        <f>IF(G302=B1170,B1170,IF(G302=B1171,B1171,IF(G302=B1172,B1172,"")))</f>
        <v>more relief than resolve</v>
      </c>
      <c r="BD1169"/>
    </row>
    <row r="1170" spans="2:56" hidden="1">
      <c r="B1170" s="2" t="s">
        <v>1360</v>
      </c>
      <c r="E1170" s="566">
        <f>IF(G302=B1170,1,IF(G302=B1171,-1,IF(G302=B1172,0,0)))</f>
        <v>1</v>
      </c>
    </row>
    <row r="1171" spans="2:56" hidden="1">
      <c r="B1171" s="2" t="s">
        <v>1362</v>
      </c>
    </row>
    <row r="1172" spans="2:56" hidden="1">
      <c r="B1172" s="2" t="s">
        <v>1363</v>
      </c>
    </row>
    <row r="1187" spans="3:3" ht="14.4">
      <c r="C1187"/>
    </row>
  </sheetData>
  <mergeCells count="147">
    <mergeCell ref="B532:M536"/>
    <mergeCell ref="B472:M475"/>
    <mergeCell ref="B477:M481"/>
    <mergeCell ref="B590:M593"/>
    <mergeCell ref="B613:H618"/>
    <mergeCell ref="B620:M623"/>
    <mergeCell ref="B337:M341"/>
    <mergeCell ref="B636:M640"/>
    <mergeCell ref="H665:J665"/>
    <mergeCell ref="B488:M492"/>
    <mergeCell ref="B494:M498"/>
    <mergeCell ref="B454:M459"/>
    <mergeCell ref="B398:M402"/>
    <mergeCell ref="B404:M409"/>
    <mergeCell ref="B411:M416"/>
    <mergeCell ref="B418:M423"/>
    <mergeCell ref="B429:M434"/>
    <mergeCell ref="B447:M452"/>
    <mergeCell ref="B515:M520"/>
    <mergeCell ref="B566:M569"/>
    <mergeCell ref="B540:M540"/>
    <mergeCell ref="B542:H548"/>
    <mergeCell ref="E550:M556"/>
    <mergeCell ref="B558:I564"/>
    <mergeCell ref="E465:M470"/>
    <mergeCell ref="B504:M508"/>
    <mergeCell ref="B510:M513"/>
    <mergeCell ref="B270:M274"/>
    <mergeCell ref="H97:M97"/>
    <mergeCell ref="B240:M240"/>
    <mergeCell ref="E318:M323"/>
    <mergeCell ref="B325:M330"/>
    <mergeCell ref="B332:M335"/>
    <mergeCell ref="H99:M99"/>
    <mergeCell ref="H101:M101"/>
    <mergeCell ref="D193:G197"/>
    <mergeCell ref="H661:J661"/>
    <mergeCell ref="K659:M659"/>
    <mergeCell ref="B706:L708"/>
    <mergeCell ref="B705:L705"/>
    <mergeCell ref="B704:L704"/>
    <mergeCell ref="B625:G625"/>
    <mergeCell ref="B612:G612"/>
    <mergeCell ref="D680:G683"/>
    <mergeCell ref="D685:G688"/>
    <mergeCell ref="D690:G693"/>
    <mergeCell ref="J680:M683"/>
    <mergeCell ref="J685:M688"/>
    <mergeCell ref="J690:M693"/>
    <mergeCell ref="B626:G634"/>
    <mergeCell ref="B676:L676"/>
    <mergeCell ref="B575:M578"/>
    <mergeCell ref="B580:M583"/>
    <mergeCell ref="B585:M588"/>
    <mergeCell ref="H193:K197"/>
    <mergeCell ref="B139:M144"/>
    <mergeCell ref="B147:M151"/>
    <mergeCell ref="B116:G117"/>
    <mergeCell ref="H116:M117"/>
    <mergeCell ref="B118:M124"/>
    <mergeCell ref="B343:M350"/>
    <mergeCell ref="B304:M308"/>
    <mergeCell ref="G302:M302"/>
    <mergeCell ref="B244:M247"/>
    <mergeCell ref="B249:M254"/>
    <mergeCell ref="B163:M163"/>
    <mergeCell ref="B203:M203"/>
    <mergeCell ref="B235:M238"/>
    <mergeCell ref="B167:M169"/>
    <mergeCell ref="B171:M173"/>
    <mergeCell ref="B175:M179"/>
    <mergeCell ref="B181:M185"/>
    <mergeCell ref="B187:M191"/>
    <mergeCell ref="B160:M161"/>
    <mergeCell ref="B199:M201"/>
    <mergeCell ref="P676:V676"/>
    <mergeCell ref="P54:V54"/>
    <mergeCell ref="B92:M95"/>
    <mergeCell ref="B128:M131"/>
    <mergeCell ref="B133:M136"/>
    <mergeCell ref="B610:M610"/>
    <mergeCell ref="B658:G670"/>
    <mergeCell ref="B646:M649"/>
    <mergeCell ref="B672:M674"/>
    <mergeCell ref="G298:M298"/>
    <mergeCell ref="G300:M300"/>
    <mergeCell ref="B207:M212"/>
    <mergeCell ref="B214:M219"/>
    <mergeCell ref="B231:M233"/>
    <mergeCell ref="B292:M296"/>
    <mergeCell ref="B286:M290"/>
    <mergeCell ref="B280:M284"/>
    <mergeCell ref="B256:M268"/>
    <mergeCell ref="K667:M667"/>
    <mergeCell ref="B375:M378"/>
    <mergeCell ref="B380:M384"/>
    <mergeCell ref="E390:M396"/>
    <mergeCell ref="B356:M360"/>
    <mergeCell ref="B362:M366"/>
    <mergeCell ref="B20:M20"/>
    <mergeCell ref="B221:M226"/>
    <mergeCell ref="C112:G112"/>
    <mergeCell ref="I112:M112"/>
    <mergeCell ref="C114:G114"/>
    <mergeCell ref="I114:M114"/>
    <mergeCell ref="C111:G111"/>
    <mergeCell ref="C40:H40"/>
    <mergeCell ref="I40:K40"/>
    <mergeCell ref="C46:K46"/>
    <mergeCell ref="C48:H48"/>
    <mergeCell ref="C49:H49"/>
    <mergeCell ref="C50:H50"/>
    <mergeCell ref="C51:H51"/>
    <mergeCell ref="C47:H47"/>
    <mergeCell ref="C39:K39"/>
    <mergeCell ref="C41:K41"/>
    <mergeCell ref="C43:K43"/>
    <mergeCell ref="C38:K38"/>
    <mergeCell ref="C45:K45"/>
    <mergeCell ref="C42:K42"/>
    <mergeCell ref="C44:K44"/>
    <mergeCell ref="B153:M155"/>
    <mergeCell ref="B89:M89"/>
    <mergeCell ref="B21:M21"/>
    <mergeCell ref="B157:M158"/>
    <mergeCell ref="P1:V1"/>
    <mergeCell ref="P3:V3"/>
    <mergeCell ref="P5:V5"/>
    <mergeCell ref="P7:V7"/>
    <mergeCell ref="P10:V10"/>
    <mergeCell ref="C108:G108"/>
    <mergeCell ref="I108:M108"/>
    <mergeCell ref="C110:G110"/>
    <mergeCell ref="I110:M110"/>
    <mergeCell ref="C36:K36"/>
    <mergeCell ref="C35:G35"/>
    <mergeCell ref="B103:M104"/>
    <mergeCell ref="C107:G107"/>
    <mergeCell ref="I107:M107"/>
    <mergeCell ref="C109:G109"/>
    <mergeCell ref="I109:M109"/>
    <mergeCell ref="C37:K37"/>
    <mergeCell ref="P12:V12"/>
    <mergeCell ref="I111:M111"/>
    <mergeCell ref="C113:G113"/>
    <mergeCell ref="I113:M113"/>
    <mergeCell ref="B126:M126"/>
  </mergeCells>
  <phoneticPr fontId="144" type="noConversion"/>
  <dataValidations count="13">
    <dataValidation type="list" errorStyle="warning" allowBlank="1" showInputMessage="1" showErrorMessage="1" sqref="H99:M99 H97:M97" xr:uid="{020B5A84-ED62-4410-AF1D-FDE35286F206}">
      <formula1>$B$1100:$B$1117</formula1>
    </dataValidation>
    <dataValidation type="list" errorStyle="warning" allowBlank="1" showInputMessage="1" showErrorMessage="1" sqref="H101:M101" xr:uid="{8167A75D-E2F7-48BA-B04C-E8E699B29BF7}">
      <formula1>$B$1127:$B$1138</formula1>
    </dataValidation>
    <dataValidation type="list" errorStyle="warning" allowBlank="1" showInputMessage="1" showErrorMessage="1" sqref="G298:M298" xr:uid="{009D36E7-5191-446F-B236-DE16BFAB494C}">
      <formula1>$B$1160:$B$1162</formula1>
    </dataValidation>
    <dataValidation type="list" errorStyle="warning" allowBlank="1" showInputMessage="1" showErrorMessage="1" sqref="G300:M300" xr:uid="{832EA01A-463B-404D-90A4-36D35B014C45}">
      <formula1>$B$1165:$B$1167</formula1>
    </dataValidation>
    <dataValidation type="list" errorStyle="warning" allowBlank="1" showInputMessage="1" showErrorMessage="1" sqref="G302:M302" xr:uid="{5083B0F8-3B8E-4214-98D7-D537072049F3}">
      <formula1>$B$1170:$B$1172</formula1>
    </dataValidation>
    <dataValidation type="list" errorStyle="information" allowBlank="1" showInputMessage="1" showErrorMessage="1" sqref="C107:G107 I107:M107" xr:uid="{EB1A61FA-B0CC-4305-93E2-96B5AAB4CB53}">
      <formula1>$BH$107:$BH$108</formula1>
    </dataValidation>
    <dataValidation type="list" errorStyle="information" allowBlank="1" showInputMessage="1" showErrorMessage="1" sqref="C108:G108 I108:M108" xr:uid="{6E269B16-DF17-41C7-B310-72BAD00F251D}">
      <formula1>$BH$109:$BH$110</formula1>
    </dataValidation>
    <dataValidation type="list" errorStyle="information" allowBlank="1" showInputMessage="1" showErrorMessage="1" sqref="C109:G109 I109:M109" xr:uid="{3677F897-D85E-4F83-A1DF-C7B11BA8F086}">
      <formula1>$BH$111:$BH$112</formula1>
    </dataValidation>
    <dataValidation type="list" errorStyle="information" allowBlank="1" showInputMessage="1" showErrorMessage="1" sqref="C110:G110 I110:M110" xr:uid="{CE5C276B-235F-4E88-A359-D30E00B9EB9D}">
      <formula1>$BH$113:$BH$114</formula1>
    </dataValidation>
    <dataValidation type="list" errorStyle="information" allowBlank="1" showInputMessage="1" showErrorMessage="1" sqref="C111:G111 I111:M111" xr:uid="{EBDD256F-ADE9-4DE6-B2A3-0B3A732EB52D}">
      <formula1>$BH$115:$BH$116</formula1>
    </dataValidation>
    <dataValidation type="list" errorStyle="information" allowBlank="1" showInputMessage="1" showErrorMessage="1" sqref="C112:G112 I112:M112" xr:uid="{C10AB12C-57CA-46C0-9651-7EB1E5557527}">
      <formula1>$BH$117:$BH$118</formula1>
    </dataValidation>
    <dataValidation type="list" errorStyle="information" allowBlank="1" showInputMessage="1" showErrorMessage="1" sqref="C113:G113 I113:M113" xr:uid="{7607254C-F871-4CF7-A9A4-40DE26157AE7}">
      <formula1>$BH$119:$BH$120</formula1>
    </dataValidation>
    <dataValidation type="list" errorStyle="information" allowBlank="1" showInputMessage="1" showErrorMessage="1" sqref="C114:G114 I114:M114" xr:uid="{5954DB1B-F7F9-4A53-A632-53C28EF49FC0}">
      <formula1>$BH$121:$BH$122</formula1>
    </dataValidation>
  </dataValidations>
  <hyperlinks>
    <hyperlink ref="A89" location="clients!A54:N54" tooltip="to previous header" display="#" xr:uid="{AB177792-987F-47A0-9D1C-65BF952FD91B}"/>
    <hyperlink ref="AB89" location="campaign!A72:AB113" tooltip="next page" display="$" xr:uid="{E5A0F26B-53CB-4001-ADE4-3A302438C049}"/>
    <hyperlink ref="AB163" location="campaign!A155:AB195" tooltip="next page" display="$" xr:uid="{4930DE11-BF7E-430C-86C9-8B3B6A4FF8CE}"/>
    <hyperlink ref="A126" location="clients!A89:N89" tooltip="to previous page header" display="#" xr:uid="{7157A30E-E476-405C-B883-2AFC02E72C32}"/>
    <hyperlink ref="A163" location="clients!A126:N126" tooltip="to previous page header" display="#" xr:uid="{B527A827-F82B-43BF-AD3A-B5A6746DEA84}"/>
    <hyperlink ref="A240" location="clients!A203:N203" tooltip="to previous page header" display="#" xr:uid="{B548268B-5AE2-4895-83CA-6EF9A1FFD986}"/>
    <hyperlink ref="AB676" location="campaign!A277:AB277" tooltip="next page" display="$" xr:uid="{783F1C21-150C-473A-B9CC-80D1F0FE575C}"/>
    <hyperlink ref="AB203" location="campaign!A196:AB235" tooltip="next page" display="$" xr:uid="{8AB2EA68-62B7-40CD-B681-F248C3EAD78E}"/>
    <hyperlink ref="A203" location="clients!A163:N163" tooltip="to previous page header" display="#" xr:uid="{E766EA4F-E9CF-4EE3-9D85-9B99A6D35037}"/>
    <hyperlink ref="B676" location="campaign!A1:AB1" tooltip="back to the top" display="Value Relating consulting services" xr:uid="{396E39CB-B743-43F6-ACAF-5041B8DB72A2}"/>
    <hyperlink ref="AB126" location="campaign!A114:AB154" display="$" xr:uid="{D4CC09E8-FC82-4760-A17A-2DE1A2EE21E1}"/>
    <hyperlink ref="AB240" location="campaign!A236:AB276" tooltip="next page" display="$" xr:uid="{C737BF0A-9254-43B5-A3A3-8AA1828E5A0D}"/>
    <hyperlink ref="A277" location="clients!A240:N240" tooltip="to previous page header" display="#" xr:uid="{8B6B29C2-C1CF-4C5E-B49F-D5D1788CA802}"/>
    <hyperlink ref="A314" location="clients!A277:N277" tooltip="to previous page header" display="#" xr:uid="{9588858C-EF60-485A-AD82-1E0600B78AC0}"/>
    <hyperlink ref="A386" location="clients!A352:N352" tooltip="to previous page header" display="#" xr:uid="{EFF4DA11-BEBE-404C-B68D-47302584CC0D}"/>
    <hyperlink ref="A461" location="clients!A425:N425" tooltip="to previous page header" display="#" xr:uid="{35394FD7-3716-4705-9C26-93398B312A9B}"/>
    <hyperlink ref="A538" location="clients!A500:N500" tooltip="to previous page header" display="#" xr:uid="{77A48B93-76A5-4043-B9E0-E55C4218517F}"/>
    <hyperlink ref="A571" location="clients!A538:N538" tooltip="to previous page header" display="#" xr:uid="{4C7102E2-AF2D-4677-A54D-AD81EF8AE11D}"/>
    <hyperlink ref="A641" location="clients!A608:N608" tooltip="to previous page header" display="#" xr:uid="{2DC1BB2F-848C-408C-B072-5E5322A25D52}"/>
    <hyperlink ref="A425" location="clients!A386:N386" tooltip="to previous page header" display="#" xr:uid="{22EAC099-3C90-4112-BF69-13BA65C77990}"/>
    <hyperlink ref="A500" location="clients!A461:N461" tooltip="to previous page header" display="#" xr:uid="{A2582EC5-F416-4DA8-8DA9-4B2B9911F8CE}"/>
    <hyperlink ref="A352" location="clients!A314:N314" tooltip="to previous page header" display="#" xr:uid="{EC5EA8E1-3724-4577-ACCB-4FB97D4CC2A9}"/>
    <hyperlink ref="A608" location="clients!A571:N571" tooltip="to previous page header" display="#" xr:uid="{CA694A8B-20C9-435A-9B86-4F9CD91FBB83}"/>
    <hyperlink ref="B157:M158" location="clients!B704" tooltip="Pies, R. Culture Wars, COVID-19 and Countertransference. What America’s Cultural Rifts Might Mean for Psychiatry and Psychotherapy. https://pro.psychcentral.com/culture-wars-covid-19-and-countertransference. June 29, 2020. Accessed 2020-11-07.." display="Your client could become disillusioned with therapy itself. They may see it as hopelessly partisan.1 They likely will warn others not to see you. You then risk your professional reputation. " xr:uid="{56B8A15F-A4DD-45F0-8160-A97211DCD345}"/>
    <hyperlink ref="B171:M173" location="clients!B705" tooltip="Haidt, J. (2013). The righteous mind. Penguin Books." display="clients!B705" xr:uid="{79A2BF66-A9C5-4706-B758-81E569BCDE75}"/>
    <hyperlink ref="B585:M588" location="clients!B706" tooltip="HHS. (2013). Business Associate Contracts. https://www.hhs.gov/hipaa/for-professionals/covered-entities/sample-business-associate-agreement-provisions/index.html. Accessed 2020-11-08." display="clients!B706" xr:uid="{F77F39A0-9E27-4BBB-A617-E223C369A8A2}"/>
    <hyperlink ref="M704" r:id="rId1" tooltip="click to go to webpage" xr:uid="{9AB5E320-935F-49CF-97A4-97A3E7FB826D}"/>
    <hyperlink ref="M706" r:id="rId2" tooltip="click to go to webpage" xr:uid="{A5D5165E-893A-42AF-AC5B-E96CC597CD82}"/>
    <hyperlink ref="M705" r:id="rId3" tooltip="click to go to webpage (Amazon)" xr:uid="{653D1857-25B7-481F-9645-05607D181378}"/>
    <hyperlink ref="AB277" location="campaign!A236:AB276" tooltip="next page" display="$" xr:uid="{4688667D-2F16-438E-BFD0-B83168BC98B1}"/>
    <hyperlink ref="AB314" location="campaign!A236:AB276" tooltip="next page" display="$" xr:uid="{5B3247F1-EE8C-4051-87F5-78056E03080D}"/>
    <hyperlink ref="AB352" location="campaign!A236:AB276" tooltip="next page" display="$" xr:uid="{E63A09ED-7627-4AAF-8A54-24FACBC036E5}"/>
    <hyperlink ref="AB386" location="campaign!A236:AB276" tooltip="next page" display="$" xr:uid="{7C8BF862-89DE-475F-9AB1-80D92A03B4CF}"/>
    <hyperlink ref="AB425" location="campaign!A236:AB276" tooltip="next page" display="$" xr:uid="{1A9EB1FA-E420-4BE1-8372-0FB3AFB84A01}"/>
    <hyperlink ref="AB461" location="campaign!A236:AB276" tooltip="next page" display="$" xr:uid="{29A08279-EC8D-4BCF-9E3A-33DAEC1BF610}"/>
    <hyperlink ref="AB500" location="campaign!A236:AB276" tooltip="next page" display="$" xr:uid="{8C1BF7EE-6599-4027-A85E-527AA0327E29}"/>
    <hyperlink ref="AB538" location="campaign!A236:AB276" tooltip="next page" display="$" xr:uid="{7E8C98B7-58AC-4807-8DE1-2B65E5FC1C96}"/>
    <hyperlink ref="AB571" location="campaign!A236:AB276" tooltip="next page" display="$" xr:uid="{DC786E6A-D464-42FF-A359-A5F2F9742774}"/>
    <hyperlink ref="AB608" location="campaign!A236:AB276" tooltip="next page" display="$" xr:uid="{88F1B780-86F6-4806-A4C4-AB40BF02DFBA}"/>
    <hyperlink ref="AB641" location="campaign!A236:AB276" tooltip="next page" display="$" xr:uid="{30575425-53BE-46A5-9025-16DE6C72B403}"/>
    <hyperlink ref="AB54" location="campaign!A72:AB113" tooltip="next page" display="$" xr:uid="{C90104A7-E354-488B-A944-02BC1FFA764D}"/>
    <hyperlink ref="C36" location="clients!A126:N162" tooltip="click to go to page" display="clients!A126:N162" xr:uid="{C2332A2A-92AA-45AF-BB84-0C2C6E90EF28}"/>
    <hyperlink ref="D685:G688" r:id="rId4" tooltip="click to go to landing page online" display="https://www.valuerelating.com/sttp-4s" xr:uid="{144777AD-59D7-41FB-8337-B5A9DE06D7CA}"/>
    <hyperlink ref="B612:H612" r:id="rId5" display="psychosociotherapy" xr:uid="{73B5CDA0-2A38-40F1-8C80-7B46BC5DCB56}"/>
    <hyperlink ref="B625:G625" r:id="rId6" display="impact parity model" xr:uid="{5B523409-6554-4291-9C2E-0254986E1EFA}"/>
    <hyperlink ref="B126" location="clients!B36:M36" tooltip="back to contents listing" display="Moving therapy beyond popular politics" xr:uid="{3CAB4523-2F2A-4F9E-B8E4-81C4314A567D}"/>
    <hyperlink ref="I35" location="clients!H97:M97" tooltip="go to dropdown list to select your client's political outlook" display="client's" xr:uid="{7C57F8E4-5AD6-4E8F-8E1D-AB73EB632EAF}"/>
    <hyperlink ref="B704:L704" location="clients!B157:M157" tooltip="to use in text" display="1Pies, R. (2020). Culture Wars, COVID-19 and Countertransference. What America’s Cultural Rifts Might Mean for Psychiatry and Psychotherapy. https://pro.psychcentral.com/culture-wars-covid-19-and-countertransference. Accessed 2020-11-07." xr:uid="{753EC004-9BE9-41EE-8351-A6F90B8F7B79}"/>
    <hyperlink ref="B705:L705" location="clients!B171" tooltip="to use in text" display="2Haidt, J. (2013). The righteous mind. Penguin Books." xr:uid="{AB9DC621-6218-4F7C-B300-6810F090F7FA}"/>
    <hyperlink ref="B706:L708" location="clients!B585" tooltip="to use in text" display="3HHS. (2013). Business Associate Contracts. https://www.hhs.gov/hipaa/for-professionals/covered-entities/sample-business-associate-agreement-provisions/index.html. Accessed 2020-11-08." xr:uid="{28F9EFBB-C8D0-4486-9001-D46557BFE953}"/>
    <hyperlink ref="B277:J277" location="clients!B40:K40" tooltip="back to contents" display="Therapeutic Harmony Politics" xr:uid="{02CE0A31-FE99-4FD1-9316-5B9E4C45BB65}"/>
    <hyperlink ref="B286:M290" location="clients!B695:M697" tooltip="Anankelogy, the disciplined study of need" display="Anankelogy, the new social science for understanding needs, finds we have a set way for relating to others, and toward other things. Simplified here, you either relate to other as generally as possible, or you relate to other's specifics. Politics entices you, and your client, to cling to comforting generalizations. Politics builds on coalitions that must avoid potentially divisive specifics. Politics routinely overlooks the specifics necessary to resolve needs, which would remove the pain." xr:uid="{3C4AA80F-085D-48D1-8FB3-0E6CB986A30D}"/>
    <hyperlink ref="B89:M89" location="clients!B35:K35" tooltip="to contents menu above" display="Slipping into political tension" xr:uid="{9B03588D-44A2-48B2-BAE8-311DE2002E77}"/>
    <hyperlink ref="B163:M163" location="clients!B37:K37" tooltip="back to contents menu above" display="1. Politics reveals your client's unresolved needs." xr:uid="{D0D8FA8C-CAC1-497E-8229-F2E1C034AD9F}"/>
    <hyperlink ref="C37:K37" location="clients!A163:N163" tooltip="click to go to page" display="clients!A163:N163" xr:uid="{BA4FA404-FDAE-47BF-A4F7-3C5299B98E9F}"/>
    <hyperlink ref="L37" location="clients!A164:N202" tooltip="to page 6" display="clients!A164:N202" xr:uid="{13FD1D5D-5C74-4799-888A-124B7AD7BE54}"/>
    <hyperlink ref="B203:M203" location="clients!B39:K39" tooltip="back to contents menu above" display="2. Politics unmasks your client's vulnerable needs." xr:uid="{4B4AD168-9162-4E6D-BB73-28351E3AEFCF}"/>
    <hyperlink ref="L39" location="clients!A240:N276" tooltip="to page 8" display="clients!A240:N276" xr:uid="{54DCA0E8-F212-4725-A44F-81F6A240686F}"/>
    <hyperlink ref="C39:K39" location="clients!A240:N240" tooltip="to page 8 header" display="clients!A240:N240" xr:uid="{8C96B016-1991-4596-B369-141F68DDFEDB}"/>
    <hyperlink ref="C38:K38" location="clients!A203:N203" tooltip="to page 7 header" display="clients!A203:N203" xr:uid="{25AB027E-A3D1-4546-AA55-2D8206D2B130}"/>
    <hyperlink ref="L38" location="clients!A203:N239" tooltip="to page 7" display="clients!A203:N239" xr:uid="{2636C986-A527-47D5-85D3-3C8285321E2F}"/>
    <hyperlink ref="J35" location="clients!H99:M99" tooltip="go to dropdown list to select your political outlook" display="yours" xr:uid="{A758E21F-FEE8-431A-8EDB-0DB239436B50}"/>
    <hyperlink ref="K35" location="clients!H101" tooltip="go to dropdown list to select a political issue" display="issue" xr:uid="{02C66A95-D8A8-4306-9852-ABEB0A34216E}"/>
    <hyperlink ref="C34" location="clients!A54:N54" tooltip="go to page 3 header" display="Aims" xr:uid="{D9AD0D2C-8421-4DF1-8FD7-5D2940623051}"/>
    <hyperlink ref="L34" location="clients!A54:N88" tooltip="to page 3" display="clients!A54:N88" xr:uid="{951896C8-68D0-45C0-BA26-CCA29A55BC2F}"/>
    <hyperlink ref="B54:C54" location="clients!B34:K34" tooltip="back to contents menu above" display="Aims" xr:uid="{E8FD685A-D6E5-4A48-8922-24F50A8C60D7}"/>
    <hyperlink ref="C35:G35" location="clients!A89:N89" tooltip="to page 4 header" display="clients!A89:N89" xr:uid="{19138B38-00CB-4C64-97A2-B64F986E6204}"/>
    <hyperlink ref="L35" location="clients!A89:N125" tooltip="to page 4" display="clients!A89:N125" xr:uid="{F9E3DC17-4EDF-4D47-BA75-FD356622B447}"/>
    <hyperlink ref="L33" location="clients!A23:N53" tooltip="to contents (this page)" display="clients!A23:N53" xr:uid="{4B76E7DE-BBE9-4539-A432-0E66251105C1}"/>
    <hyperlink ref="L40" location="clients!A277:N313" tooltip="to page 9" display="clients!A277:N313" xr:uid="{4E288D59-7D5F-4199-82C4-B8BA9C93BCD2}"/>
    <hyperlink ref="C40:K40" location="clients!A277:N277" tooltip="to page 9 header" display="clients!A277:N277" xr:uid="{D1BE0557-7584-4D51-A8A5-5424D4A5738A}"/>
    <hyperlink ref="L41" location="clients!A314:N351" tooltip="to page 10" display="clients!A314:N351" xr:uid="{2D0AE6E2-92B7-4C1A-AC80-8A4642543F31}"/>
    <hyperlink ref="C41:K41" location="clients!A314:N314" tooltip="to page 10 header" display="clients!A314:N314" xr:uid="{FAB54905-308A-4CFB-932E-A9AAD324464E}"/>
    <hyperlink ref="L42" location="clients!A352:N385" tooltip="to page 11" display="clients!A352:N385" xr:uid="{DA2D3AC7-98F6-4E70-BA9A-6B56CB01B9C2}"/>
    <hyperlink ref="C42:K42" location="clients!A352:N352" tooltip="to page 11 header" display="clients!A352:N352" xr:uid="{93BC5CE6-9539-4AD7-AEDF-B013EAEBBA8D}"/>
    <hyperlink ref="L43" location="clients!A386:N424" tooltip="to page 12" display="clients!A386:N424" xr:uid="{95E56840-A762-4D11-80F7-AF2F203F748D}"/>
    <hyperlink ref="C43:K43" location="clients!A386:N386" tooltip="to page 12 header" display="clients!A386:N386" xr:uid="{3BA95C70-16C3-46CA-A66D-2C256BDA4F1E}"/>
    <hyperlink ref="L44" location="clients!A425:N460" tooltip="to page 13" display="clients!A425:N460" xr:uid="{968C45C0-4055-472C-98C5-F8CC0333B82B}"/>
    <hyperlink ref="C44:K44" location="clients!A425:N425" tooltip="to page 13 header" display="clients!A425:N425" xr:uid="{17C4558D-2C0C-4746-A0E8-F4B81C3A0CA6}"/>
    <hyperlink ref="L45" location="clients!A461:N499" tooltip="to page 14" display="clients!A461:N499" xr:uid="{568C827A-3BFB-4304-9E34-F17BE6D01346}"/>
    <hyperlink ref="C45:K45" location="clients!A461:N461" tooltip="to page 14 header" display="clients!A461:N461" xr:uid="{58865333-BC70-4A7C-8A71-20FCFC0D8534}"/>
    <hyperlink ref="L46" location="clients!A500:N537" tooltip="to page 15" display="clients!A500:N537" xr:uid="{A138C1AC-11B3-4DA9-A6D3-0BF8C182B214}"/>
    <hyperlink ref="C46:K46" location="clients!A500:N500" tooltip="to page 15 header" display="clients!A500:N500" xr:uid="{D24845A4-D00E-4336-8DC8-6EA0AA427BA3}"/>
    <hyperlink ref="L47" location="clients!A538:N570" tooltip="to page 16" display="clients!A538:N570" xr:uid="{5B814F4C-11D0-45C4-B24A-2B05E1336F1F}"/>
    <hyperlink ref="C47:H47" location="clients!A538:N538" tooltip="to page 16 header" display="clients!A538:N538" xr:uid="{DFB8FCBA-CCE0-4A3D-B8C6-0486FB6A0FD1}"/>
    <hyperlink ref="L48" location="clients!A571:N607" tooltip="to page 17" display="clients!A571:N607" xr:uid="{94F1A7B0-ACD4-416F-A055-B7DF929A7314}"/>
    <hyperlink ref="C48:H48" location="clients!A571:N571" tooltip="to page 17 header" display="clients!A571:N571" xr:uid="{0D655F77-FB8B-4DB9-B99D-AE96FE922A28}"/>
    <hyperlink ref="L49" location="clients!A608:N640" tooltip="to page 18" display="clients!A608:N640" xr:uid="{1A9C1DC0-7143-4703-86C8-E9DCBE116E24}"/>
    <hyperlink ref="C49:H49" location="clients!A608:N608" tooltip="to page 18 header" display="clients!A608:N608" xr:uid="{50C2FEB5-B850-470B-95C2-AF3686204B10}"/>
    <hyperlink ref="L50" location="clients!A641:N675" tooltip="to page 19" display="clients!A641:N675" xr:uid="{68E1679A-A88C-4CD2-A2E4-18884431DAD2}"/>
    <hyperlink ref="C50:H50" location="clients!A641:N641" tooltip="to page 19 header" display="clients!A641:N641" xr:uid="{8A1DB157-D2B7-4E25-9C28-D0CB4CC7DE75}"/>
    <hyperlink ref="L51" location="clients!A676:N710" tooltip="to page 20" display="clients!A676:N710" xr:uid="{81E732E2-F000-4F7E-AF9B-055ECCA9E98A}"/>
    <hyperlink ref="C51:H51" location="clients!A676:N676" tooltip="to page 20 header" display="clients!A676:N676" xr:uid="{F6020037-A5C4-4549-9EFA-8BB23213B4B6}"/>
    <hyperlink ref="B314:L314" location="clients!B41:K41" tooltip="back to contents menu above" display="1. Identifying affected needs - &quot;degeneralize&quot;" xr:uid="{E65A1AFA-7E93-4AF2-8FB8-42FB4F84CB9E}"/>
    <hyperlink ref="B352:E352" location="clients!B42:K42" tooltip="back to contents menu above" display="De-generalizing" xr:uid="{B890D525-8D38-4FF9-AB21-1C8C7D66A9F1}"/>
    <hyperlink ref="B386:K386" location="clients!B43:K43" tooltip="back to contents menu above" display="2. Expressing affected needs - &quot;dealienate&quot;" xr:uid="{7D91FED3-9E25-49D3-A5CB-C69455C35B5B}"/>
    <hyperlink ref="B425:D425" location="clients!B44:K44" tooltip="back to contents menu above" display="De-alienating" xr:uid="{8328AE3D-C7C2-4C85-80FF-A983F14CD56F}"/>
    <hyperlink ref="B461:K461" location="clients!B45:K45" tooltip="back to contents menu above" display="3. Addressing affected needs - &quot;depolarize&quot;" xr:uid="{73EB0D83-7778-4BD4-A2F3-6654C8DD7CAA}"/>
    <hyperlink ref="B500" location="clients!B46:K46" tooltip="back to contents menu above" display="De-polarizing" xr:uid="{83DEDA92-CCFA-4994-9CC8-E643446EA70B}"/>
    <hyperlink ref="B538:E538" location="clients!B47:K47" tooltip="back to the contents menu above" display="TAKEAWAY" xr:uid="{764F98AB-BCE2-4919-AC2D-694DE5792C82}"/>
    <hyperlink ref="B571:J571" location="clients!B48:K48" tooltip="back to contents menu above" display="Therapeutic Harmony Politics" xr:uid="{AF26C383-DD2D-4F99-B64E-4C647C64AAB1}"/>
    <hyperlink ref="B573:L573" r:id="rId7" tooltip="CLICK to request support for optimizing this pioneering approach to politics." display="This tool covers just enough to get you started on your own. Contact me for support." xr:uid="{F411AE67-A63B-4D6D-8B02-21EF85A3B3C9}"/>
    <hyperlink ref="B608:J608" location="clients!B49:K49" tooltip="back to the contents menu above" display="Introducing psychosociotherapy" xr:uid="{58D58132-67F6-41AC-ADB7-2F58407130C0}"/>
    <hyperlink ref="B641:I641" location="clients!B50:K52" tooltip="back to contents menu above" display="Competitive responsiveness" xr:uid="{C2258992-AFC0-4B0F-A610-B8A1A9E0BE96}"/>
    <hyperlink ref="A676" location="clients!A641:N641" tooltip="to previous page header" display="#" xr:uid="{B0C057F3-E3CE-4444-9C05-7B6897C73BDF}"/>
    <hyperlink ref="N89" location="clients!A126:N126" tooltip="next page header" display="$" xr:uid="{A05E3540-DFB0-4A43-8825-FF3B5853629E}"/>
    <hyperlink ref="N126" location="clients!A163:N163" tooltip="to next page header" display="$" xr:uid="{D5B7EF55-9F03-489E-A9FF-CEA0354B425E}"/>
    <hyperlink ref="N163" location="clients!A203:N203" tooltip="to next page header" display="$" xr:uid="{C1431303-2106-4FE6-B92B-ED2FB9674436}"/>
    <hyperlink ref="N203" location="clients!A240:N240" tooltip="to next page header" display="$" xr:uid="{FF4FCBEA-C8BE-4CDB-9202-34286DBDA948}"/>
    <hyperlink ref="N240" location="clients!A277:N277" tooltip="to next page header" display="$" xr:uid="{B9C52BD0-476C-4CC7-83C2-DF9E041E1851}"/>
    <hyperlink ref="N277" location="clients!A314:N314" tooltip="to next page header" display="$" xr:uid="{725C4F8B-B2F6-4C28-B15C-C55CFB5CF78D}"/>
    <hyperlink ref="N314" location="clients!A352:N352" tooltip="to next page header" display="$" xr:uid="{A707DC95-7D38-467C-868E-242FD2F33AD4}"/>
    <hyperlink ref="N352" location="clients!A386:N386" tooltip="to next page header" display="$" xr:uid="{8AB630C9-6864-4567-A1B6-5F6300DD7651}"/>
    <hyperlink ref="N386" location="clients!A425:N425" tooltip="to next page header" display="$" xr:uid="{EFD1C0E8-235C-44DB-B789-D37A0234B626}"/>
    <hyperlink ref="N425" location="clients!A461:N461" tooltip="to next page header" display="$" xr:uid="{62DCE743-6A7C-4585-94EB-C15C1AD0B667}"/>
    <hyperlink ref="N461" location="clients!A500:N500" tooltip="to next page header" display="$" xr:uid="{80941B9D-FA5E-43F3-844B-99E0B97A0159}"/>
    <hyperlink ref="N500" location="clients!A538:N538" tooltip="to next page header" display="$" xr:uid="{FD61E55C-05CF-4327-ADF4-BBD5690B1E67}"/>
    <hyperlink ref="N538" location="clients!A571:N571" tooltip="to next page header" display="$" xr:uid="{FDAD9B7E-5327-4A7A-AE8D-13AE6C536810}"/>
    <hyperlink ref="N571" location="clients!A608:N608" tooltip="to next page header" display="$" xr:uid="{D044CE23-EFE3-469A-B83D-C63D6054EC08}"/>
    <hyperlink ref="N608" location="clients!A641:N641" tooltip="to next page header" display="$" xr:uid="{21BB73A9-42D5-4657-AD29-9B317327E399}"/>
    <hyperlink ref="N641" location="clients!A676:N676" tooltip="to next page header" display="$" xr:uid="{0CC26789-B044-4135-AA76-AB8707565959}"/>
    <hyperlink ref="N676" location="clients!A710:N710" tooltip="end of the line" display="$" xr:uid="{F91CB3E7-31D7-4ACD-8281-F6E07D141284}"/>
  </hyperlinks>
  <printOptions horizontalCentered="1"/>
  <pageMargins left="0.65" right="0.65" top="0.75" bottom="0.75" header="0.3" footer="0.3"/>
  <pageSetup pageOrder="overThenDown" orientation="portrait" r:id="rId8"/>
  <headerFooter>
    <oddHeader>&amp;C&amp;"Arial Black,Regular"&amp;16&amp;K00B050Value&amp;K01+000 &amp;K7030A0Relating&amp;Rver. 01</oddHeader>
    <oddFooter>&amp;L&amp;D&amp;C&amp;P&amp;R&amp;F; &amp;A</oddFooter>
  </headerFooter>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EC86C4-D1E5-4E2C-84E3-BB2D1A1BC844}">
  <dimension ref="A1:CD1399"/>
  <sheetViews>
    <sheetView zoomScaleNormal="100" zoomScaleSheetLayoutView="90" workbookViewId="0"/>
  </sheetViews>
  <sheetFormatPr defaultColWidth="8.88671875" defaultRowHeight="13.8"/>
  <cols>
    <col min="1" max="1" width="1.6640625" style="2" customWidth="1"/>
    <col min="2" max="13" width="7.33203125" style="2" customWidth="1"/>
    <col min="14" max="14" width="1.6640625" style="2" customWidth="1"/>
    <col min="15" max="15" width="1.6640625" style="2" hidden="1" customWidth="1"/>
    <col min="16" max="27" width="7.33203125" style="2" hidden="1" customWidth="1"/>
    <col min="28" max="28" width="1.6640625" style="2" hidden="1" customWidth="1"/>
    <col min="29" max="29" width="1.6640625" style="2" customWidth="1"/>
    <col min="30" max="33" width="8.88671875" style="2"/>
    <col min="34" max="34" width="8.88671875" style="2" customWidth="1"/>
    <col min="35" max="52" width="8.88671875" style="2" hidden="1" customWidth="1"/>
    <col min="53" max="79" width="8.88671875" style="2" customWidth="1"/>
    <col min="80" max="80" width="8.88671875" style="2"/>
    <col min="81" max="106" width="8.88671875" style="2" customWidth="1"/>
    <col min="107" max="16384" width="8.88671875" style="2"/>
  </cols>
  <sheetData>
    <row r="1" spans="1:28" ht="45" customHeight="1">
      <c r="A1" s="482"/>
      <c r="B1" s="483"/>
      <c r="C1" s="483"/>
      <c r="D1" s="484"/>
      <c r="E1" s="484"/>
      <c r="F1" s="484"/>
      <c r="G1" s="484"/>
      <c r="H1" s="484"/>
      <c r="I1" s="484"/>
      <c r="J1" s="484"/>
      <c r="K1" s="484"/>
      <c r="L1" s="484"/>
      <c r="M1" s="484"/>
      <c r="N1" s="485"/>
      <c r="O1" s="482"/>
      <c r="P1" s="1278"/>
      <c r="Q1" s="1278"/>
      <c r="R1" s="1278"/>
      <c r="S1" s="1278"/>
      <c r="T1" s="1278"/>
      <c r="U1" s="1278"/>
      <c r="V1" s="1278"/>
      <c r="W1" s="486"/>
      <c r="X1" s="487"/>
      <c r="Y1" s="487"/>
      <c r="Z1" s="487"/>
      <c r="AA1" s="487"/>
      <c r="AB1" s="485"/>
    </row>
    <row r="2" spans="1:28" ht="10.050000000000001" customHeight="1">
      <c r="A2" s="299"/>
      <c r="B2" s="488"/>
      <c r="C2" s="488"/>
      <c r="D2" s="488"/>
      <c r="E2" s="488"/>
      <c r="F2" s="488"/>
      <c r="G2" s="488"/>
      <c r="H2" s="488"/>
      <c r="I2" s="488"/>
      <c r="J2" s="488"/>
      <c r="K2" s="488"/>
      <c r="L2" s="488"/>
      <c r="M2" s="488"/>
      <c r="N2" s="489"/>
      <c r="O2" s="299"/>
      <c r="P2" s="488"/>
      <c r="Q2" s="488"/>
      <c r="R2" s="488"/>
      <c r="S2" s="488"/>
      <c r="T2" s="488"/>
      <c r="U2" s="488"/>
      <c r="V2" s="488"/>
      <c r="W2" s="488"/>
      <c r="X2" s="488"/>
      <c r="Y2" s="488"/>
      <c r="Z2" s="488"/>
      <c r="AA2" s="488"/>
      <c r="AB2" s="489"/>
    </row>
    <row r="3" spans="1:28" ht="30" customHeight="1">
      <c r="A3" s="299"/>
      <c r="B3" s="488"/>
      <c r="C3" s="488"/>
      <c r="D3" s="488"/>
      <c r="E3" s="488"/>
      <c r="F3" s="488"/>
      <c r="G3" s="488"/>
      <c r="H3" s="488"/>
      <c r="I3" s="488"/>
      <c r="J3" s="488"/>
      <c r="K3" s="488"/>
      <c r="L3" s="488"/>
      <c r="M3" s="488"/>
      <c r="N3" s="489"/>
      <c r="O3" s="490"/>
      <c r="P3" s="1279"/>
      <c r="Q3" s="1279"/>
      <c r="R3" s="1279"/>
      <c r="S3" s="1279"/>
      <c r="T3" s="1279"/>
      <c r="U3" s="1279"/>
      <c r="V3" s="1279"/>
      <c r="W3" s="492"/>
      <c r="X3" s="493"/>
      <c r="Y3" s="493"/>
      <c r="Z3" s="493"/>
      <c r="AA3" s="493"/>
      <c r="AB3" s="494"/>
    </row>
    <row r="4" spans="1:28" ht="30" customHeight="1">
      <c r="A4" s="299"/>
      <c r="B4" s="488"/>
      <c r="C4" s="488"/>
      <c r="D4" s="488"/>
      <c r="E4" s="488"/>
      <c r="F4" s="488"/>
      <c r="G4" s="488"/>
      <c r="H4" s="488"/>
      <c r="I4" s="488"/>
      <c r="J4" s="488"/>
      <c r="K4" s="488"/>
      <c r="L4" s="488"/>
      <c r="M4" s="488"/>
      <c r="N4" s="489"/>
      <c r="O4" s="299"/>
      <c r="P4" s="488"/>
      <c r="Q4" s="488"/>
      <c r="R4" s="488"/>
      <c r="S4" s="488"/>
      <c r="T4" s="488"/>
      <c r="U4" s="488"/>
      <c r="V4" s="488"/>
      <c r="W4" s="488"/>
      <c r="X4" s="488"/>
      <c r="Y4" s="488"/>
      <c r="Z4" s="488"/>
      <c r="AA4" s="488"/>
      <c r="AB4" s="489"/>
    </row>
    <row r="5" spans="1:28" ht="30" customHeight="1">
      <c r="A5" s="299"/>
      <c r="B5" s="488"/>
      <c r="C5" s="488"/>
      <c r="D5" s="488"/>
      <c r="E5" s="488"/>
      <c r="F5" s="488"/>
      <c r="G5" s="488"/>
      <c r="H5" s="488"/>
      <c r="I5" s="488"/>
      <c r="J5" s="488"/>
      <c r="K5" s="488"/>
      <c r="L5" s="488"/>
      <c r="M5" s="488"/>
      <c r="N5" s="489"/>
      <c r="O5" s="490"/>
      <c r="P5" s="1279"/>
      <c r="Q5" s="1279"/>
      <c r="R5" s="1279"/>
      <c r="S5" s="1279"/>
      <c r="T5" s="1279"/>
      <c r="U5" s="1279"/>
      <c r="V5" s="1279"/>
      <c r="W5" s="492"/>
      <c r="X5" s="493"/>
      <c r="Y5" s="493"/>
      <c r="Z5" s="493"/>
      <c r="AA5" s="493"/>
      <c r="AB5" s="494"/>
    </row>
    <row r="6" spans="1:28" ht="30" customHeight="1">
      <c r="A6" s="299"/>
      <c r="B6" s="488"/>
      <c r="C6" s="488"/>
      <c r="D6" s="488"/>
      <c r="E6" s="488"/>
      <c r="F6" s="488"/>
      <c r="G6" s="488"/>
      <c r="H6" s="488"/>
      <c r="I6" s="488"/>
      <c r="J6" s="488"/>
      <c r="K6" s="488"/>
      <c r="L6" s="488"/>
      <c r="M6" s="488"/>
      <c r="N6" s="489"/>
      <c r="O6" s="299"/>
      <c r="P6" s="488"/>
      <c r="Q6" s="488"/>
      <c r="R6" s="488"/>
      <c r="S6" s="488"/>
      <c r="T6" s="488"/>
      <c r="U6" s="488"/>
      <c r="V6" s="488"/>
      <c r="W6" s="488"/>
      <c r="X6" s="488"/>
      <c r="Y6" s="488"/>
      <c r="Z6" s="488"/>
      <c r="AA6" s="488"/>
      <c r="AB6" s="489"/>
    </row>
    <row r="7" spans="1:28" ht="30" customHeight="1">
      <c r="A7" s="299"/>
      <c r="B7" s="488"/>
      <c r="C7" s="488"/>
      <c r="D7" s="488"/>
      <c r="E7" s="488"/>
      <c r="F7" s="488"/>
      <c r="G7" s="488"/>
      <c r="H7" s="488"/>
      <c r="I7" s="488"/>
      <c r="J7" s="488"/>
      <c r="K7" s="488"/>
      <c r="L7" s="488"/>
      <c r="M7" s="488"/>
      <c r="N7" s="489"/>
      <c r="O7" s="490"/>
      <c r="P7" s="1279"/>
      <c r="Q7" s="1279"/>
      <c r="R7" s="1279"/>
      <c r="S7" s="1279"/>
      <c r="T7" s="1279"/>
      <c r="U7" s="1279"/>
      <c r="V7" s="1279"/>
      <c r="W7" s="492"/>
      <c r="X7" s="493"/>
      <c r="Y7" s="493"/>
      <c r="Z7" s="493"/>
      <c r="AA7" s="493"/>
      <c r="AB7" s="494"/>
    </row>
    <row r="8" spans="1:28" ht="30" customHeight="1">
      <c r="A8" s="299"/>
      <c r="B8" s="488"/>
      <c r="C8" s="488"/>
      <c r="D8" s="488"/>
      <c r="E8" s="488"/>
      <c r="F8" s="488"/>
      <c r="G8" s="488"/>
      <c r="H8" s="488"/>
      <c r="I8" s="488"/>
      <c r="J8" s="488"/>
      <c r="K8" s="488"/>
      <c r="L8" s="488"/>
      <c r="M8" s="488"/>
      <c r="N8" s="489"/>
      <c r="O8" s="490"/>
      <c r="P8" s="573"/>
      <c r="Q8" s="573"/>
      <c r="R8" s="573"/>
      <c r="S8" s="573"/>
      <c r="T8" s="573"/>
      <c r="U8" s="573"/>
      <c r="V8" s="573"/>
      <c r="W8" s="492"/>
      <c r="X8" s="493"/>
      <c r="Y8" s="493"/>
      <c r="Z8" s="493"/>
      <c r="AA8" s="493"/>
      <c r="AB8" s="494"/>
    </row>
    <row r="9" spans="1:28" ht="30" customHeight="1">
      <c r="A9" s="299"/>
      <c r="B9" s="488"/>
      <c r="C9" s="488"/>
      <c r="D9" s="488"/>
      <c r="E9" s="488"/>
      <c r="F9" s="488"/>
      <c r="G9" s="488"/>
      <c r="H9" s="488"/>
      <c r="I9" s="488"/>
      <c r="J9" s="488"/>
      <c r="K9" s="488"/>
      <c r="L9" s="488"/>
      <c r="M9" s="488"/>
      <c r="N9" s="489"/>
      <c r="O9" s="299"/>
      <c r="P9" s="488"/>
      <c r="Q9" s="488"/>
      <c r="R9" s="488"/>
      <c r="S9" s="488"/>
      <c r="T9" s="488"/>
      <c r="U9" s="488"/>
      <c r="V9" s="488"/>
      <c r="W9" s="488"/>
      <c r="X9" s="488"/>
      <c r="Y9" s="488"/>
      <c r="Z9" s="488"/>
      <c r="AA9" s="488"/>
      <c r="AB9" s="489"/>
    </row>
    <row r="10" spans="1:28" ht="30" customHeight="1">
      <c r="A10" s="299"/>
      <c r="B10" s="488"/>
      <c r="C10" s="488"/>
      <c r="D10" s="488"/>
      <c r="E10" s="488"/>
      <c r="F10" s="488"/>
      <c r="G10" s="488"/>
      <c r="H10" s="488"/>
      <c r="I10" s="488"/>
      <c r="J10" s="488"/>
      <c r="K10" s="488"/>
      <c r="L10" s="488"/>
      <c r="M10" s="488"/>
      <c r="N10" s="489"/>
      <c r="O10" s="490"/>
      <c r="P10" s="1279"/>
      <c r="Q10" s="1279"/>
      <c r="R10" s="1279"/>
      <c r="S10" s="1279"/>
      <c r="T10" s="1279"/>
      <c r="U10" s="1279"/>
      <c r="V10" s="1279"/>
      <c r="W10" s="492"/>
      <c r="X10" s="493"/>
      <c r="Y10" s="493"/>
      <c r="Z10" s="493"/>
      <c r="AA10" s="493"/>
      <c r="AB10" s="494"/>
    </row>
    <row r="11" spans="1:28" ht="30" customHeight="1">
      <c r="A11" s="299"/>
      <c r="B11" s="488"/>
      <c r="C11" s="488"/>
      <c r="D11" s="488"/>
      <c r="E11" s="488"/>
      <c r="F11" s="488"/>
      <c r="G11" s="488"/>
      <c r="H11" s="488"/>
      <c r="I11" s="488"/>
      <c r="J11" s="488"/>
      <c r="K11" s="488"/>
      <c r="L11" s="488"/>
      <c r="M11" s="488"/>
      <c r="N11" s="489"/>
      <c r="O11" s="299"/>
      <c r="P11" s="488"/>
      <c r="Q11" s="488"/>
      <c r="R11" s="488"/>
      <c r="S11" s="488"/>
      <c r="T11" s="488"/>
      <c r="U11" s="488"/>
      <c r="V11" s="488"/>
      <c r="W11" s="488"/>
      <c r="X11" s="488"/>
      <c r="Y11" s="488"/>
      <c r="Z11" s="488"/>
      <c r="AA11" s="488"/>
      <c r="AB11" s="489"/>
    </row>
    <row r="12" spans="1:28" ht="30" customHeight="1">
      <c r="A12" s="299"/>
      <c r="B12" s="488"/>
      <c r="C12" s="488"/>
      <c r="D12" s="488"/>
      <c r="E12" s="488"/>
      <c r="F12" s="488"/>
      <c r="G12" s="488"/>
      <c r="H12" s="488"/>
      <c r="I12" s="488"/>
      <c r="J12" s="488"/>
      <c r="K12" s="488"/>
      <c r="L12" s="488"/>
      <c r="M12" s="488"/>
      <c r="N12" s="489"/>
      <c r="O12" s="490"/>
      <c r="P12" s="1279"/>
      <c r="Q12" s="1279"/>
      <c r="R12" s="1279"/>
      <c r="S12" s="1279"/>
      <c r="T12" s="1279"/>
      <c r="U12" s="1279"/>
      <c r="V12" s="1279"/>
      <c r="W12" s="492"/>
      <c r="X12" s="493"/>
      <c r="Y12" s="493"/>
      <c r="Z12" s="493"/>
      <c r="AA12" s="493"/>
      <c r="AB12" s="494"/>
    </row>
    <row r="13" spans="1:28" ht="30" customHeight="1">
      <c r="A13" s="299"/>
      <c r="B13" s="488"/>
      <c r="C13" s="488"/>
      <c r="D13" s="488"/>
      <c r="E13" s="488"/>
      <c r="F13" s="488"/>
      <c r="G13" s="488"/>
      <c r="H13" s="488"/>
      <c r="I13" s="488"/>
      <c r="J13" s="488"/>
      <c r="K13" s="488"/>
      <c r="L13" s="488"/>
      <c r="M13" s="488"/>
      <c r="N13" s="489"/>
      <c r="O13" s="299"/>
      <c r="P13" s="488"/>
      <c r="Q13" s="488"/>
      <c r="R13" s="488"/>
      <c r="S13" s="488"/>
      <c r="T13" s="488"/>
      <c r="U13" s="488"/>
      <c r="V13" s="488"/>
      <c r="W13" s="488"/>
      <c r="X13" s="488"/>
      <c r="Y13" s="488"/>
      <c r="Z13" s="488"/>
      <c r="AA13" s="488"/>
      <c r="AB13" s="489"/>
    </row>
    <row r="14" spans="1:28" ht="30" customHeight="1">
      <c r="A14" s="299"/>
      <c r="B14" s="488"/>
      <c r="C14" s="488"/>
      <c r="D14" s="488"/>
      <c r="E14" s="488"/>
      <c r="F14" s="488"/>
      <c r="G14" s="488"/>
      <c r="H14" s="488"/>
      <c r="I14" s="488"/>
      <c r="J14" s="488"/>
      <c r="K14" s="488"/>
      <c r="L14" s="488"/>
      <c r="M14" s="488"/>
      <c r="N14" s="489"/>
      <c r="O14" s="299"/>
      <c r="P14" s="488"/>
      <c r="Q14" s="488"/>
      <c r="R14" s="488"/>
      <c r="S14" s="488"/>
      <c r="T14" s="488"/>
      <c r="U14" s="488"/>
      <c r="V14" s="488"/>
      <c r="W14" s="488"/>
      <c r="X14" s="488"/>
      <c r="Y14" s="488"/>
      <c r="Z14" s="488"/>
      <c r="AA14" s="488"/>
      <c r="AB14" s="489"/>
    </row>
    <row r="15" spans="1:28" ht="30" customHeight="1">
      <c r="A15" s="299"/>
      <c r="B15" s="488"/>
      <c r="C15" s="488"/>
      <c r="D15" s="488"/>
      <c r="E15" s="488"/>
      <c r="F15" s="488"/>
      <c r="G15" s="488"/>
      <c r="H15" s="488"/>
      <c r="I15" s="488"/>
      <c r="J15" s="488"/>
      <c r="K15" s="488"/>
      <c r="L15" s="488"/>
      <c r="M15" s="488"/>
      <c r="N15" s="489"/>
      <c r="O15" s="299"/>
      <c r="P15" s="488"/>
      <c r="Q15" s="488"/>
      <c r="R15" s="488"/>
      <c r="S15" s="488"/>
      <c r="T15" s="488"/>
      <c r="U15" s="488"/>
      <c r="V15" s="488"/>
      <c r="W15" s="488"/>
      <c r="X15" s="488"/>
      <c r="Y15" s="488"/>
      <c r="Z15" s="488"/>
      <c r="AA15" s="488"/>
      <c r="AB15" s="489"/>
    </row>
    <row r="16" spans="1:28" ht="30" customHeight="1">
      <c r="A16" s="299"/>
      <c r="B16" s="488"/>
      <c r="C16" s="488"/>
      <c r="D16" s="488"/>
      <c r="E16" s="488"/>
      <c r="F16" s="488"/>
      <c r="G16" s="488"/>
      <c r="H16" s="488"/>
      <c r="I16" s="488"/>
      <c r="J16" s="488"/>
      <c r="K16" s="488"/>
      <c r="L16" s="488"/>
      <c r="M16" s="488"/>
      <c r="N16" s="489"/>
      <c r="O16" s="299"/>
      <c r="P16" s="488"/>
      <c r="Q16" s="488"/>
      <c r="R16" s="488"/>
      <c r="S16" s="488"/>
      <c r="T16" s="488"/>
      <c r="U16" s="488"/>
      <c r="V16" s="488"/>
      <c r="W16" s="488"/>
      <c r="X16" s="488"/>
      <c r="Y16" s="488"/>
      <c r="Z16" s="488"/>
      <c r="AA16" s="488"/>
      <c r="AB16" s="489"/>
    </row>
    <row r="17" spans="1:28" ht="30" customHeight="1">
      <c r="A17" s="299"/>
      <c r="B17" s="488"/>
      <c r="C17" s="488"/>
      <c r="D17" s="488"/>
      <c r="E17" s="488"/>
      <c r="F17" s="488"/>
      <c r="G17" s="488"/>
      <c r="H17" s="488"/>
      <c r="I17" s="488"/>
      <c r="J17" s="488"/>
      <c r="K17" s="488"/>
      <c r="L17" s="488"/>
      <c r="M17" s="488"/>
      <c r="N17" s="489"/>
      <c r="O17" s="299"/>
      <c r="P17" s="488"/>
      <c r="Q17" s="488"/>
      <c r="R17" s="488"/>
      <c r="S17" s="488"/>
      <c r="T17" s="488"/>
      <c r="U17" s="488"/>
      <c r="V17" s="488"/>
      <c r="W17" s="488"/>
      <c r="X17" s="488"/>
      <c r="Y17" s="488"/>
      <c r="Z17" s="488"/>
      <c r="AA17" s="488"/>
      <c r="AB17" s="489"/>
    </row>
    <row r="18" spans="1:28" ht="30" customHeight="1">
      <c r="A18" s="299"/>
      <c r="B18" s="488"/>
      <c r="C18" s="488"/>
      <c r="D18" s="488"/>
      <c r="E18" s="488"/>
      <c r="F18" s="488"/>
      <c r="G18" s="488"/>
      <c r="H18" s="488"/>
      <c r="I18" s="488"/>
      <c r="J18" s="488"/>
      <c r="K18" s="488"/>
      <c r="L18" s="488"/>
      <c r="M18" s="488"/>
      <c r="N18" s="489"/>
      <c r="O18" s="299"/>
      <c r="P18" s="488"/>
      <c r="Q18" s="488"/>
      <c r="R18" s="488"/>
      <c r="S18" s="488"/>
      <c r="T18" s="488"/>
      <c r="U18" s="488"/>
      <c r="V18" s="488"/>
      <c r="W18" s="488"/>
      <c r="X18" s="488"/>
      <c r="Y18" s="488"/>
      <c r="Z18" s="488"/>
      <c r="AA18" s="488"/>
      <c r="AB18" s="489"/>
    </row>
    <row r="19" spans="1:28" ht="30" customHeight="1">
      <c r="A19" s="299"/>
      <c r="B19" s="488"/>
      <c r="C19" s="488"/>
      <c r="D19" s="488"/>
      <c r="E19" s="488"/>
      <c r="F19" s="488"/>
      <c r="G19" s="488"/>
      <c r="H19" s="488"/>
      <c r="I19" s="488"/>
      <c r="J19" s="488"/>
      <c r="K19" s="488"/>
      <c r="L19" s="488"/>
      <c r="M19" s="488"/>
      <c r="N19" s="489"/>
      <c r="O19" s="299"/>
      <c r="P19" s="488"/>
      <c r="Q19" s="488"/>
      <c r="R19" s="488"/>
      <c r="S19" s="488"/>
      <c r="T19" s="488"/>
      <c r="U19" s="488"/>
      <c r="V19" s="488"/>
      <c r="W19" s="488"/>
      <c r="X19" s="488"/>
      <c r="Y19" s="488"/>
      <c r="Z19" s="488"/>
      <c r="AA19" s="488"/>
      <c r="AB19" s="489"/>
    </row>
    <row r="20" spans="1:28" ht="40.049999999999997" customHeight="1">
      <c r="A20" s="299"/>
      <c r="B20" s="1287" t="s">
        <v>1787</v>
      </c>
      <c r="C20" s="1287"/>
      <c r="D20" s="1287"/>
      <c r="E20" s="1287"/>
      <c r="F20" s="1287"/>
      <c r="G20" s="1287"/>
      <c r="H20" s="1287"/>
      <c r="I20" s="1287"/>
      <c r="J20" s="1287"/>
      <c r="K20" s="1287"/>
      <c r="L20" s="1287"/>
      <c r="M20" s="1287"/>
      <c r="N20" s="489"/>
      <c r="O20" s="299"/>
      <c r="P20" s="488"/>
      <c r="Q20" s="488"/>
      <c r="R20" s="488"/>
      <c r="S20" s="488"/>
      <c r="T20" s="488"/>
      <c r="U20" s="488"/>
      <c r="V20" s="488"/>
      <c r="W20" s="488"/>
      <c r="X20" s="488"/>
      <c r="Y20" s="488"/>
      <c r="Z20" s="488"/>
      <c r="AA20" s="488"/>
      <c r="AB20" s="489"/>
    </row>
    <row r="21" spans="1:28" ht="30" customHeight="1">
      <c r="A21" s="299"/>
      <c r="B21" s="1276" t="s">
        <v>1786</v>
      </c>
      <c r="C21" s="1276"/>
      <c r="D21" s="1276"/>
      <c r="E21" s="1276"/>
      <c r="F21" s="1276"/>
      <c r="G21" s="1276"/>
      <c r="H21" s="1276"/>
      <c r="I21" s="1276"/>
      <c r="J21" s="1276"/>
      <c r="K21" s="1276"/>
      <c r="L21" s="1276"/>
      <c r="M21" s="1276"/>
      <c r="N21" s="489"/>
      <c r="O21" s="299"/>
      <c r="P21" s="488"/>
      <c r="Q21" s="488"/>
      <c r="R21" s="488"/>
      <c r="S21" s="488"/>
      <c r="T21" s="488"/>
      <c r="U21" s="488"/>
      <c r="V21" s="488"/>
      <c r="W21" s="488"/>
      <c r="X21" s="488"/>
      <c r="Y21" s="488"/>
      <c r="Z21" s="488"/>
      <c r="AA21" s="488"/>
      <c r="AB21" s="489"/>
    </row>
    <row r="22" spans="1:28" ht="30" customHeight="1">
      <c r="A22" s="299"/>
      <c r="B22" s="488"/>
      <c r="C22" s="488"/>
      <c r="D22" s="488"/>
      <c r="E22" s="488"/>
      <c r="F22" s="488"/>
      <c r="G22" s="488"/>
      <c r="H22" s="488"/>
      <c r="I22" s="488"/>
      <c r="J22" s="488"/>
      <c r="K22" s="488"/>
      <c r="L22" s="488"/>
      <c r="M22" s="488"/>
      <c r="N22" s="489"/>
      <c r="O22" s="299"/>
      <c r="P22" s="488"/>
      <c r="Q22" s="488"/>
      <c r="R22" s="488"/>
      <c r="S22" s="488"/>
      <c r="T22" s="488"/>
      <c r="U22" s="488"/>
      <c r="V22" s="488"/>
      <c r="W22" s="488"/>
      <c r="X22" s="488"/>
      <c r="Y22" s="488"/>
      <c r="Z22" s="488"/>
      <c r="AA22" s="488"/>
      <c r="AB22" s="489"/>
    </row>
    <row r="23" spans="1:28" ht="30" customHeight="1" thickBot="1">
      <c r="A23" s="479"/>
      <c r="B23" s="479"/>
      <c r="C23" s="479"/>
      <c r="D23" s="479"/>
      <c r="E23" s="479"/>
      <c r="F23" s="479"/>
      <c r="G23" s="479"/>
      <c r="H23" s="479"/>
      <c r="I23" s="479"/>
      <c r="J23" s="479"/>
      <c r="K23" s="479"/>
      <c r="L23" s="479"/>
      <c r="M23" s="479"/>
      <c r="N23" s="479"/>
      <c r="O23" s="479"/>
      <c r="P23" s="479"/>
      <c r="Q23" s="479"/>
      <c r="R23" s="479"/>
      <c r="S23" s="479"/>
      <c r="T23" s="479"/>
      <c r="U23" s="479"/>
      <c r="V23" s="479"/>
      <c r="W23" s="479"/>
      <c r="X23" s="479"/>
      <c r="Y23" s="479"/>
      <c r="Z23" s="479"/>
      <c r="AA23" s="479"/>
      <c r="AB23" s="479"/>
    </row>
    <row r="24" spans="1:28" ht="21" customHeight="1">
      <c r="A24" s="479"/>
      <c r="B24" s="529"/>
      <c r="C24" s="1337" t="s">
        <v>2010</v>
      </c>
      <c r="D24" s="1337"/>
      <c r="E24" s="1337"/>
      <c r="F24" s="1337"/>
      <c r="G24" s="1337"/>
      <c r="H24" s="1337"/>
      <c r="I24" s="1337"/>
      <c r="J24" s="1337"/>
      <c r="K24" s="1337"/>
      <c r="L24" s="541">
        <v>2</v>
      </c>
      <c r="M24" s="545">
        <v>2</v>
      </c>
      <c r="N24" s="479"/>
      <c r="O24" s="479"/>
      <c r="P24" s="479"/>
      <c r="Q24" s="479"/>
      <c r="R24" s="479"/>
      <c r="S24" s="479"/>
      <c r="T24" s="479"/>
      <c r="U24" s="479"/>
      <c r="V24" s="479"/>
      <c r="W24" s="479"/>
      <c r="X24" s="479"/>
      <c r="Y24" s="479"/>
      <c r="Z24" s="479"/>
      <c r="AA24" s="479"/>
      <c r="AB24" s="479"/>
    </row>
    <row r="25" spans="1:28" ht="21" customHeight="1" thickBot="1">
      <c r="A25" s="479"/>
      <c r="B25" s="531"/>
      <c r="C25" s="891" t="s">
        <v>1790</v>
      </c>
      <c r="D25" s="891"/>
      <c r="E25" s="891"/>
      <c r="F25" s="891"/>
      <c r="G25" s="891"/>
      <c r="H25" s="891"/>
      <c r="I25" s="891"/>
      <c r="J25" s="891"/>
      <c r="K25" s="891"/>
      <c r="L25" s="847">
        <v>3</v>
      </c>
      <c r="M25" s="848">
        <v>3</v>
      </c>
      <c r="N25" s="479"/>
      <c r="O25" s="479"/>
      <c r="P25" s="479"/>
      <c r="Q25" s="479"/>
      <c r="R25" s="479"/>
      <c r="S25" s="479"/>
      <c r="T25" s="479"/>
      <c r="U25" s="479"/>
      <c r="V25" s="479"/>
      <c r="W25" s="479"/>
      <c r="X25" s="479"/>
      <c r="Y25" s="479"/>
      <c r="Z25" s="479"/>
      <c r="AA25" s="479"/>
      <c r="AB25" s="479"/>
    </row>
    <row r="26" spans="1:28" ht="21" customHeight="1">
      <c r="A26" s="479"/>
      <c r="B26" s="849"/>
      <c r="C26" s="1340" t="str">
        <f>B90</f>
        <v>Parallel political differences</v>
      </c>
      <c r="D26" s="1340"/>
      <c r="E26" s="1340"/>
      <c r="F26" s="1340"/>
      <c r="G26" s="1340"/>
      <c r="H26" s="1340"/>
      <c r="I26" s="1340"/>
      <c r="J26" s="1340"/>
      <c r="K26" s="889" t="s">
        <v>2617</v>
      </c>
      <c r="L26" s="542">
        <v>4</v>
      </c>
      <c r="M26" s="850">
        <v>4</v>
      </c>
      <c r="N26" s="479"/>
      <c r="O26" s="479"/>
      <c r="P26" s="479"/>
      <c r="Q26" s="479"/>
      <c r="R26" s="479"/>
      <c r="S26" s="479"/>
      <c r="T26" s="479"/>
      <c r="U26" s="479"/>
      <c r="V26" s="479"/>
      <c r="W26" s="479"/>
      <c r="X26" s="479"/>
      <c r="Y26" s="479"/>
      <c r="Z26" s="479"/>
      <c r="AA26" s="479"/>
      <c r="AB26" s="479"/>
    </row>
    <row r="27" spans="1:28" ht="21" customHeight="1">
      <c r="A27" s="479"/>
      <c r="B27" s="531"/>
      <c r="C27" s="1339" t="str">
        <f>B129</f>
        <v>Our divisive politics</v>
      </c>
      <c r="D27" s="1339"/>
      <c r="E27" s="1339"/>
      <c r="F27" s="1339"/>
      <c r="G27" s="1339"/>
      <c r="H27" s="1339"/>
      <c r="I27" s="1339"/>
      <c r="J27" s="1339"/>
      <c r="K27" s="881"/>
      <c r="L27" s="542">
        <v>5</v>
      </c>
      <c r="M27" s="546"/>
      <c r="N27" s="479"/>
      <c r="O27" s="479"/>
      <c r="P27" s="479"/>
      <c r="Q27" s="479"/>
      <c r="R27" s="479"/>
      <c r="S27" s="479"/>
      <c r="T27" s="479"/>
      <c r="U27" s="479"/>
      <c r="V27" s="479"/>
      <c r="W27" s="479"/>
      <c r="X27" s="479"/>
      <c r="Y27" s="479"/>
      <c r="Z27" s="479"/>
      <c r="AA27" s="479"/>
      <c r="AB27" s="479"/>
    </row>
    <row r="28" spans="1:28" ht="21" customHeight="1">
      <c r="A28" s="479"/>
      <c r="B28" s="531"/>
      <c r="C28" s="1339" t="str">
        <f>B165</f>
        <v>A need-responsive politics</v>
      </c>
      <c r="D28" s="1339"/>
      <c r="E28" s="1339"/>
      <c r="F28" s="1339"/>
      <c r="G28" s="1339"/>
      <c r="H28" s="1339"/>
      <c r="I28" s="1339"/>
      <c r="J28" s="1339"/>
      <c r="K28" s="879"/>
      <c r="L28" s="542">
        <v>6</v>
      </c>
      <c r="M28" s="546"/>
      <c r="N28" s="479"/>
      <c r="O28" s="479"/>
      <c r="P28" s="479"/>
      <c r="Q28" s="479"/>
      <c r="R28" s="479"/>
      <c r="S28" s="479"/>
      <c r="T28" s="479"/>
      <c r="U28" s="479"/>
      <c r="V28" s="479"/>
      <c r="W28" s="479"/>
      <c r="X28" s="479"/>
      <c r="Y28" s="479"/>
      <c r="Z28" s="479"/>
      <c r="AA28" s="479"/>
      <c r="AB28" s="479"/>
    </row>
    <row r="29" spans="1:28" ht="21" customHeight="1">
      <c r="A29" s="479"/>
      <c r="B29" s="531"/>
      <c r="C29" s="1339" t="str">
        <f>B202</f>
        <v>Slipping into needless battle</v>
      </c>
      <c r="D29" s="1339"/>
      <c r="E29" s="1339"/>
      <c r="F29" s="1339"/>
      <c r="G29" s="1339"/>
      <c r="H29" s="1339"/>
      <c r="I29" s="1339"/>
      <c r="J29" s="1339"/>
      <c r="K29" s="881"/>
      <c r="L29" s="542">
        <v>7</v>
      </c>
      <c r="M29" s="546"/>
      <c r="N29" s="479"/>
      <c r="O29" s="479"/>
      <c r="P29" s="479"/>
      <c r="Q29" s="479"/>
      <c r="R29" s="479"/>
      <c r="S29" s="479"/>
      <c r="T29" s="479"/>
      <c r="U29" s="479"/>
      <c r="V29" s="479"/>
      <c r="W29" s="479"/>
      <c r="X29" s="479"/>
      <c r="Y29" s="479"/>
      <c r="Z29" s="479"/>
      <c r="AA29" s="479"/>
      <c r="AB29" s="479"/>
    </row>
    <row r="30" spans="1:28" ht="21" customHeight="1">
      <c r="A30" s="479"/>
      <c r="B30" s="531"/>
      <c r="C30" s="1339" t="str">
        <f>B239</f>
        <v>Stuck in pointless conflict</v>
      </c>
      <c r="D30" s="1339"/>
      <c r="E30" s="1339"/>
      <c r="F30" s="1339"/>
      <c r="G30" s="1339"/>
      <c r="H30" s="1339"/>
      <c r="I30" s="1339"/>
      <c r="J30" s="1339"/>
      <c r="K30" s="881" t="s">
        <v>2617</v>
      </c>
      <c r="L30" s="542">
        <v>8</v>
      </c>
      <c r="M30" s="546"/>
      <c r="N30" s="479"/>
      <c r="O30" s="479"/>
      <c r="P30" s="479"/>
      <c r="Q30" s="479"/>
      <c r="R30" s="479"/>
      <c r="S30" s="479"/>
      <c r="T30" s="479"/>
      <c r="U30" s="479"/>
      <c r="V30" s="479"/>
      <c r="W30" s="479"/>
      <c r="X30" s="479"/>
      <c r="Y30" s="479"/>
      <c r="Z30" s="479"/>
      <c r="AA30" s="479"/>
      <c r="AB30" s="479"/>
    </row>
    <row r="31" spans="1:28" ht="21" customHeight="1">
      <c r="A31" s="479"/>
      <c r="B31" s="531"/>
      <c r="C31" s="1339" t="str">
        <f>B275</f>
        <v>Liberated by love</v>
      </c>
      <c r="D31" s="1339"/>
      <c r="E31" s="1339"/>
      <c r="F31" s="1339"/>
      <c r="G31" s="1339"/>
      <c r="H31" s="1339"/>
      <c r="I31" s="1339"/>
      <c r="J31" s="1339"/>
      <c r="K31" s="881" t="s">
        <v>2617</v>
      </c>
      <c r="L31" s="542">
        <v>9</v>
      </c>
      <c r="M31" s="546"/>
      <c r="N31" s="479"/>
      <c r="O31" s="479"/>
      <c r="P31" s="479"/>
      <c r="Q31" s="479"/>
      <c r="R31" s="479"/>
      <c r="S31" s="479"/>
      <c r="T31" s="479"/>
      <c r="U31" s="479"/>
      <c r="V31" s="479"/>
      <c r="W31" s="479"/>
      <c r="X31" s="479"/>
      <c r="Y31" s="479"/>
      <c r="Z31" s="479"/>
      <c r="AA31" s="479"/>
      <c r="AB31" s="479"/>
    </row>
    <row r="32" spans="1:28" ht="21" customHeight="1">
      <c r="A32" s="479"/>
      <c r="B32" s="531"/>
      <c r="C32" s="1339" t="str">
        <f>B312</f>
        <v>Depolarizing politics</v>
      </c>
      <c r="D32" s="1339"/>
      <c r="E32" s="1339"/>
      <c r="F32" s="1339"/>
      <c r="G32" s="1339"/>
      <c r="H32" s="1339"/>
      <c r="I32" s="1339"/>
      <c r="J32" s="1339"/>
      <c r="K32" s="881"/>
      <c r="L32" s="542">
        <v>10</v>
      </c>
      <c r="M32" s="546"/>
      <c r="N32" s="479"/>
      <c r="O32" s="479"/>
      <c r="P32" s="479"/>
      <c r="Q32" s="479"/>
      <c r="R32" s="479"/>
      <c r="S32" s="479"/>
      <c r="T32" s="479"/>
      <c r="U32" s="479"/>
      <c r="V32" s="479"/>
      <c r="W32" s="479"/>
      <c r="X32" s="479"/>
      <c r="Y32" s="479"/>
      <c r="Z32" s="479"/>
      <c r="AA32" s="479"/>
      <c r="AB32" s="479"/>
    </row>
    <row r="33" spans="1:28" ht="21" customHeight="1">
      <c r="A33" s="479"/>
      <c r="B33" s="531"/>
      <c r="C33" s="1339" t="str">
        <f>B349</f>
        <v>Our responsive politics</v>
      </c>
      <c r="D33" s="1339"/>
      <c r="E33" s="1339"/>
      <c r="F33" s="1339"/>
      <c r="G33" s="1339"/>
      <c r="H33" s="1339"/>
      <c r="I33" s="1339"/>
      <c r="J33" s="1339"/>
      <c r="K33" s="881"/>
      <c r="L33" s="542">
        <v>11</v>
      </c>
      <c r="M33" s="546"/>
      <c r="N33" s="479"/>
      <c r="O33" s="479"/>
      <c r="P33" s="479"/>
      <c r="Q33" s="479"/>
      <c r="R33" s="479"/>
      <c r="S33" s="479"/>
      <c r="T33" s="479"/>
      <c r="U33" s="479"/>
      <c r="V33" s="479"/>
      <c r="W33" s="479"/>
      <c r="X33" s="479"/>
      <c r="Y33" s="479"/>
      <c r="Z33" s="479"/>
      <c r="AA33" s="479"/>
      <c r="AB33" s="479"/>
    </row>
    <row r="34" spans="1:28" ht="21" customHeight="1" thickBot="1">
      <c r="A34" s="479"/>
      <c r="B34" s="846"/>
      <c r="C34" s="1336" t="str">
        <f>B385</f>
        <v>Respecting all political differences</v>
      </c>
      <c r="D34" s="1336"/>
      <c r="E34" s="1336"/>
      <c r="F34" s="1336"/>
      <c r="G34" s="1336"/>
      <c r="H34" s="1336"/>
      <c r="I34" s="1336"/>
      <c r="J34" s="1336"/>
      <c r="K34" s="890"/>
      <c r="L34" s="847">
        <v>12</v>
      </c>
      <c r="M34" s="848"/>
      <c r="N34" s="479"/>
      <c r="O34" s="479"/>
      <c r="P34" s="479"/>
      <c r="Q34" s="479"/>
      <c r="R34" s="479"/>
      <c r="S34" s="479"/>
      <c r="T34" s="479"/>
      <c r="U34" s="479"/>
      <c r="V34" s="479"/>
      <c r="W34" s="479"/>
      <c r="X34" s="479"/>
      <c r="Y34" s="479"/>
      <c r="Z34" s="479"/>
      <c r="AA34" s="479"/>
      <c r="AB34" s="479"/>
    </row>
    <row r="35" spans="1:28" ht="21" customHeight="1">
      <c r="A35" s="479"/>
      <c r="B35" s="531"/>
      <c r="C35" s="1342" t="str">
        <f>B422</f>
        <v>Welcome to campaign advocacy</v>
      </c>
      <c r="D35" s="1342"/>
      <c r="E35" s="1342"/>
      <c r="F35" s="1342"/>
      <c r="G35" s="1342"/>
      <c r="H35" s="1342"/>
      <c r="I35" s="845"/>
      <c r="J35" s="845"/>
      <c r="K35" s="881"/>
      <c r="L35" s="542">
        <v>13</v>
      </c>
      <c r="M35" s="546"/>
      <c r="N35" s="479"/>
      <c r="O35" s="479"/>
      <c r="P35" s="479"/>
      <c r="Q35" s="479"/>
      <c r="R35" s="479"/>
      <c r="S35" s="479"/>
      <c r="T35" s="479"/>
      <c r="U35" s="479"/>
      <c r="V35" s="479"/>
      <c r="W35" s="479"/>
      <c r="X35" s="479"/>
      <c r="Y35" s="479"/>
      <c r="Z35" s="479"/>
      <c r="AA35" s="479"/>
      <c r="AB35" s="479"/>
    </row>
    <row r="36" spans="1:28" ht="21" customHeight="1">
      <c r="A36" s="479"/>
      <c r="B36" s="531"/>
      <c r="C36" s="1342" t="str">
        <f>B462</f>
        <v>What is the impact parity model?</v>
      </c>
      <c r="D36" s="1342"/>
      <c r="E36" s="1342"/>
      <c r="F36" s="1342"/>
      <c r="G36" s="1342"/>
      <c r="H36" s="1342"/>
      <c r="I36" s="704"/>
      <c r="J36" s="704"/>
      <c r="K36" s="881"/>
      <c r="L36" s="542">
        <v>14</v>
      </c>
      <c r="M36" s="546"/>
      <c r="N36" s="479"/>
      <c r="O36" s="479"/>
      <c r="P36" s="479"/>
      <c r="Q36" s="479"/>
      <c r="R36" s="479"/>
      <c r="S36" s="479"/>
      <c r="T36" s="479"/>
      <c r="U36" s="479"/>
      <c r="V36" s="479"/>
      <c r="W36" s="479"/>
      <c r="X36" s="479"/>
      <c r="Y36" s="479"/>
      <c r="Z36" s="479"/>
      <c r="AA36" s="479"/>
      <c r="AB36" s="479"/>
    </row>
    <row r="37" spans="1:28" ht="21" customHeight="1">
      <c r="A37" s="479"/>
      <c r="B37" s="531"/>
      <c r="C37" s="1341" t="str">
        <f>B493</f>
        <v>Because they need you</v>
      </c>
      <c r="D37" s="1341"/>
      <c r="E37" s="1341"/>
      <c r="F37" s="1341"/>
      <c r="G37" s="1341"/>
      <c r="H37" s="1341"/>
      <c r="I37" s="704"/>
      <c r="J37" s="704"/>
      <c r="K37" s="881"/>
      <c r="L37" s="542">
        <v>15</v>
      </c>
      <c r="M37" s="546"/>
      <c r="N37" s="479"/>
      <c r="O37" s="479"/>
      <c r="P37" s="479"/>
      <c r="Q37" s="479"/>
      <c r="R37" s="479"/>
      <c r="S37" s="479"/>
      <c r="T37" s="479"/>
      <c r="U37" s="479"/>
      <c r="V37" s="479"/>
      <c r="W37" s="479"/>
      <c r="X37" s="479"/>
      <c r="Y37" s="479"/>
      <c r="Z37" s="479"/>
      <c r="AA37" s="479"/>
      <c r="AB37" s="479"/>
    </row>
    <row r="38" spans="1:28" ht="21" customHeight="1">
      <c r="A38" s="479"/>
      <c r="B38" s="531"/>
      <c r="C38" s="1341" t="str">
        <f>B530</f>
        <v>FIT 1: Your personal readiness</v>
      </c>
      <c r="D38" s="1341"/>
      <c r="E38" s="1341"/>
      <c r="F38" s="1341"/>
      <c r="G38" s="1341"/>
      <c r="H38" s="1341"/>
      <c r="I38" s="845"/>
      <c r="J38" s="845"/>
      <c r="K38" s="881" t="s">
        <v>2617</v>
      </c>
      <c r="L38" s="542">
        <v>16</v>
      </c>
      <c r="M38" s="546">
        <v>6</v>
      </c>
      <c r="N38" s="479"/>
      <c r="O38" s="479"/>
      <c r="P38" s="479"/>
      <c r="Q38" s="479"/>
      <c r="R38" s="479"/>
      <c r="S38" s="479"/>
      <c r="T38" s="479"/>
      <c r="U38" s="479"/>
      <c r="V38" s="479"/>
      <c r="W38" s="479"/>
      <c r="X38" s="479"/>
      <c r="Y38" s="479"/>
      <c r="Z38" s="479"/>
      <c r="AA38" s="479"/>
      <c r="AB38" s="479"/>
    </row>
    <row r="39" spans="1:28" ht="21" customHeight="1">
      <c r="A39" s="479"/>
      <c r="B39" s="531"/>
      <c r="C39" s="1341" t="str">
        <f>B568</f>
        <v>FIT 2: Your support potential</v>
      </c>
      <c r="D39" s="1341"/>
      <c r="E39" s="1341"/>
      <c r="F39" s="1341"/>
      <c r="G39" s="1341"/>
      <c r="H39" s="1341"/>
      <c r="I39" s="704"/>
      <c r="J39" s="704"/>
      <c r="K39" s="881"/>
      <c r="L39" s="542">
        <v>17</v>
      </c>
      <c r="M39" s="546">
        <v>7</v>
      </c>
      <c r="N39" s="479"/>
      <c r="O39" s="479"/>
      <c r="P39" s="479"/>
      <c r="Q39" s="479"/>
      <c r="R39" s="479"/>
      <c r="S39" s="479"/>
      <c r="T39" s="479"/>
      <c r="U39" s="479"/>
      <c r="V39" s="479"/>
      <c r="W39" s="479"/>
      <c r="X39" s="479"/>
      <c r="Y39" s="479"/>
      <c r="Z39" s="479"/>
      <c r="AA39" s="479"/>
      <c r="AB39" s="479"/>
    </row>
    <row r="40" spans="1:28" ht="21" customHeight="1">
      <c r="A40" s="479"/>
      <c r="B40" s="531"/>
      <c r="C40" s="1341" t="str">
        <f>B602</f>
        <v>FIT 3: Your responsive impactors</v>
      </c>
      <c r="D40" s="1341"/>
      <c r="E40" s="1341"/>
      <c r="F40" s="1341"/>
      <c r="G40" s="1341"/>
      <c r="H40" s="1341"/>
      <c r="I40" s="704"/>
      <c r="J40" s="704"/>
      <c r="K40" s="881" t="s">
        <v>2617</v>
      </c>
      <c r="L40" s="542">
        <v>18</v>
      </c>
      <c r="M40" s="546">
        <v>8</v>
      </c>
      <c r="N40" s="479"/>
      <c r="O40" s="479"/>
      <c r="P40" s="479"/>
      <c r="Q40" s="479"/>
      <c r="R40" s="479"/>
      <c r="S40" s="479"/>
      <c r="T40" s="479"/>
      <c r="U40" s="479"/>
      <c r="V40" s="479"/>
      <c r="W40" s="479"/>
      <c r="X40" s="479"/>
      <c r="Y40" s="479"/>
      <c r="Z40" s="479"/>
      <c r="AA40" s="479"/>
      <c r="AB40" s="479"/>
    </row>
    <row r="41" spans="1:28" ht="21" customHeight="1">
      <c r="A41" s="479"/>
      <c r="B41" s="531"/>
      <c r="C41" s="1342" t="str">
        <f>B636</f>
        <v>CAMPAIGN PHASES</v>
      </c>
      <c r="D41" s="1342"/>
      <c r="E41" s="1342"/>
      <c r="F41" s="1342"/>
      <c r="G41" s="1342"/>
      <c r="H41" s="1342"/>
      <c r="I41" s="845"/>
      <c r="J41" s="845"/>
      <c r="K41" s="881" t="s">
        <v>2617</v>
      </c>
      <c r="L41" s="542">
        <v>19</v>
      </c>
      <c r="M41" s="546">
        <v>9</v>
      </c>
      <c r="N41" s="479"/>
      <c r="O41" s="479"/>
      <c r="P41" s="479"/>
      <c r="Q41" s="479"/>
      <c r="R41" s="479"/>
      <c r="S41" s="479"/>
      <c r="T41" s="479"/>
      <c r="U41" s="479"/>
      <c r="V41" s="479"/>
      <c r="W41" s="479"/>
      <c r="X41" s="479"/>
      <c r="Y41" s="479"/>
      <c r="Z41" s="479"/>
      <c r="AA41" s="479"/>
      <c r="AB41" s="479"/>
    </row>
    <row r="42" spans="1:28" ht="21" customHeight="1">
      <c r="A42" s="479"/>
      <c r="B42" s="531"/>
      <c r="C42" s="1341" t="str">
        <f>B676</f>
        <v>1: PREP phase</v>
      </c>
      <c r="D42" s="1341"/>
      <c r="E42" s="1341"/>
      <c r="F42" s="1341"/>
      <c r="G42" s="1341"/>
      <c r="H42" s="1341"/>
      <c r="I42" s="760"/>
      <c r="J42" s="760"/>
      <c r="K42" s="881"/>
      <c r="L42" s="542">
        <v>20</v>
      </c>
      <c r="M42" s="546">
        <v>10</v>
      </c>
      <c r="N42" s="479"/>
      <c r="O42" s="479"/>
      <c r="P42" s="479"/>
      <c r="Q42" s="479"/>
      <c r="R42" s="479"/>
      <c r="S42" s="479"/>
      <c r="T42" s="479"/>
      <c r="U42" s="479"/>
      <c r="V42" s="479"/>
      <c r="W42" s="479"/>
      <c r="X42" s="479"/>
      <c r="Y42" s="479"/>
      <c r="Z42" s="479"/>
      <c r="AA42" s="479"/>
      <c r="AB42" s="479"/>
    </row>
    <row r="43" spans="1:28" ht="21" customHeight="1">
      <c r="A43" s="479"/>
      <c r="B43" s="531"/>
      <c r="C43" s="1341" t="str">
        <f>B714</f>
        <v>2: BASE phase</v>
      </c>
      <c r="D43" s="1341"/>
      <c r="E43" s="1341"/>
      <c r="F43" s="1341"/>
      <c r="G43" s="1341"/>
      <c r="H43" s="1341"/>
      <c r="I43" s="761"/>
      <c r="J43" s="761"/>
      <c r="K43" s="881" t="s">
        <v>2617</v>
      </c>
      <c r="L43" s="542">
        <v>21</v>
      </c>
      <c r="M43" s="546">
        <v>11</v>
      </c>
      <c r="N43" s="479"/>
      <c r="O43" s="479"/>
      <c r="P43" s="479"/>
      <c r="Q43" s="479"/>
      <c r="R43" s="479"/>
      <c r="S43" s="479"/>
      <c r="T43" s="479"/>
      <c r="U43" s="479"/>
      <c r="V43" s="479"/>
      <c r="W43" s="479"/>
      <c r="X43" s="479"/>
      <c r="Y43" s="479"/>
      <c r="Z43" s="479"/>
      <c r="AA43" s="479"/>
      <c r="AB43" s="479"/>
    </row>
    <row r="44" spans="1:28" ht="21" customHeight="1">
      <c r="A44" s="479"/>
      <c r="B44" s="531"/>
      <c r="C44" s="1341" t="str">
        <f>B749</f>
        <v>3: LAUNCH phase</v>
      </c>
      <c r="D44" s="1341"/>
      <c r="E44" s="1341"/>
      <c r="F44" s="1341"/>
      <c r="G44" s="1341"/>
      <c r="H44" s="1341"/>
      <c r="I44" s="761"/>
      <c r="J44" s="761"/>
      <c r="K44" s="881" t="s">
        <v>2617</v>
      </c>
      <c r="L44" s="542">
        <v>22</v>
      </c>
      <c r="M44" s="546">
        <v>12</v>
      </c>
      <c r="N44" s="479"/>
      <c r="O44" s="479"/>
      <c r="P44" s="479"/>
      <c r="Q44" s="479"/>
      <c r="R44" s="479"/>
      <c r="S44" s="479"/>
      <c r="T44" s="479"/>
      <c r="U44" s="479"/>
      <c r="V44" s="479"/>
      <c r="W44" s="479"/>
      <c r="X44" s="479"/>
      <c r="Y44" s="479"/>
      <c r="Z44" s="479"/>
      <c r="AA44" s="479"/>
      <c r="AB44" s="479"/>
    </row>
    <row r="45" spans="1:28" ht="21" customHeight="1">
      <c r="A45" s="479"/>
      <c r="B45" s="531"/>
      <c r="C45" s="1341" t="str">
        <f>B783</f>
        <v>4. GROWTH phase</v>
      </c>
      <c r="D45" s="1341"/>
      <c r="E45" s="1341"/>
      <c r="F45" s="1341"/>
      <c r="G45" s="1341"/>
      <c r="H45" s="1341"/>
      <c r="I45" s="761"/>
      <c r="J45" s="761"/>
      <c r="K45" s="881" t="s">
        <v>2617</v>
      </c>
      <c r="L45" s="542">
        <v>23</v>
      </c>
      <c r="M45" s="546">
        <v>13</v>
      </c>
      <c r="N45" s="479"/>
      <c r="O45" s="479"/>
      <c r="P45" s="479"/>
      <c r="Q45" s="479"/>
      <c r="R45" s="479"/>
      <c r="S45" s="479"/>
      <c r="T45" s="479"/>
      <c r="U45" s="479"/>
      <c r="V45" s="479"/>
      <c r="W45" s="479"/>
      <c r="X45" s="479"/>
      <c r="Y45" s="479"/>
      <c r="Z45" s="479"/>
      <c r="AA45" s="479"/>
      <c r="AB45" s="479"/>
    </row>
    <row r="46" spans="1:28" ht="21" customHeight="1">
      <c r="A46" s="479"/>
      <c r="B46" s="531"/>
      <c r="C46" s="1341" t="str">
        <f>B819</f>
        <v>5. CAUSE phase</v>
      </c>
      <c r="D46" s="1341"/>
      <c r="E46" s="1341"/>
      <c r="F46" s="1341"/>
      <c r="G46" s="1341"/>
      <c r="H46" s="1341"/>
      <c r="I46" s="761"/>
      <c r="J46" s="761"/>
      <c r="K46" s="881" t="s">
        <v>2617</v>
      </c>
      <c r="L46" s="542">
        <v>24</v>
      </c>
      <c r="M46" s="546">
        <v>14</v>
      </c>
      <c r="N46" s="479"/>
      <c r="O46" s="479"/>
      <c r="P46" s="479"/>
      <c r="Q46" s="479"/>
      <c r="R46" s="479"/>
      <c r="S46" s="479"/>
      <c r="T46" s="479"/>
      <c r="U46" s="479"/>
      <c r="V46" s="479"/>
      <c r="W46" s="479"/>
      <c r="X46" s="479"/>
      <c r="Y46" s="479"/>
      <c r="Z46" s="479"/>
      <c r="AA46" s="479"/>
      <c r="AB46" s="479"/>
    </row>
    <row r="47" spans="1:28" ht="21" customHeight="1">
      <c r="A47" s="479"/>
      <c r="B47" s="531"/>
      <c r="C47" s="1342" t="str">
        <f>B854</f>
        <v>Overview with revenue potential</v>
      </c>
      <c r="D47" s="1342"/>
      <c r="E47" s="1342"/>
      <c r="F47" s="1342"/>
      <c r="G47" s="1342"/>
      <c r="H47" s="1342"/>
      <c r="I47" s="704"/>
      <c r="J47" s="704"/>
      <c r="K47" s="881" t="s">
        <v>2617</v>
      </c>
      <c r="L47" s="542">
        <v>25</v>
      </c>
      <c r="M47" s="546">
        <v>15</v>
      </c>
      <c r="N47" s="479"/>
      <c r="O47" s="479"/>
      <c r="P47" s="479"/>
      <c r="Q47" s="479"/>
      <c r="R47" s="479"/>
      <c r="S47" s="479"/>
      <c r="T47" s="479"/>
      <c r="U47" s="479"/>
      <c r="V47" s="479"/>
      <c r="W47" s="479"/>
      <c r="X47" s="479"/>
      <c r="Y47" s="479"/>
      <c r="Z47" s="479"/>
      <c r="AA47" s="479"/>
      <c r="AB47" s="479"/>
    </row>
    <row r="48" spans="1:28" ht="21" customHeight="1">
      <c r="A48" s="479"/>
      <c r="B48" s="531"/>
      <c r="C48" s="1341" t="str">
        <f>B893</f>
        <v>Your Relating Terms</v>
      </c>
      <c r="D48" s="1341"/>
      <c r="E48" s="1341"/>
      <c r="F48" s="1341"/>
      <c r="G48" s="1341"/>
      <c r="H48" s="1341"/>
      <c r="I48" s="705"/>
      <c r="J48" s="705"/>
      <c r="K48" s="881" t="s">
        <v>2617</v>
      </c>
      <c r="L48" s="542">
        <v>26</v>
      </c>
      <c r="M48" s="546">
        <v>16</v>
      </c>
      <c r="N48" s="479"/>
      <c r="O48" s="479"/>
      <c r="P48" s="479"/>
      <c r="Q48" s="479"/>
      <c r="R48" s="479"/>
      <c r="S48" s="479"/>
      <c r="T48" s="479"/>
      <c r="U48" s="479"/>
      <c r="V48" s="479"/>
      <c r="W48" s="479"/>
      <c r="X48" s="479"/>
      <c r="Y48" s="479"/>
      <c r="Z48" s="479"/>
      <c r="AA48" s="479"/>
      <c r="AB48" s="479"/>
    </row>
    <row r="49" spans="1:30" ht="21" customHeight="1">
      <c r="A49" s="479"/>
      <c r="B49" s="531"/>
      <c r="C49" s="1341" t="str">
        <f>B931</f>
        <v>Exaction Invoice</v>
      </c>
      <c r="D49" s="1341"/>
      <c r="E49" s="1341"/>
      <c r="F49" s="1341"/>
      <c r="G49" s="1341"/>
      <c r="H49" s="1341"/>
      <c r="I49" s="705"/>
      <c r="J49" s="705"/>
      <c r="K49" s="881" t="s">
        <v>2617</v>
      </c>
      <c r="L49" s="542">
        <v>27</v>
      </c>
      <c r="M49" s="546">
        <v>17</v>
      </c>
      <c r="N49" s="479"/>
      <c r="O49" s="479"/>
      <c r="P49" s="479"/>
      <c r="Q49" s="479"/>
      <c r="R49" s="479"/>
      <c r="S49" s="479"/>
      <c r="T49" s="479"/>
      <c r="U49" s="479"/>
      <c r="V49" s="479"/>
      <c r="W49" s="479"/>
      <c r="X49" s="479"/>
      <c r="Y49" s="479"/>
      <c r="Z49" s="479"/>
      <c r="AA49" s="479"/>
      <c r="AB49" s="479"/>
    </row>
    <row r="50" spans="1:30" ht="21" customHeight="1">
      <c r="A50" s="479"/>
      <c r="B50" s="531"/>
      <c r="C50" s="1341" t="str">
        <f>B966</f>
        <v>Legitimacy Quality</v>
      </c>
      <c r="D50" s="1341"/>
      <c r="E50" s="1341"/>
      <c r="F50" s="1341"/>
      <c r="G50" s="1341"/>
      <c r="H50" s="1341"/>
      <c r="I50" s="705"/>
      <c r="J50" s="705"/>
      <c r="K50" s="881" t="s">
        <v>2617</v>
      </c>
      <c r="L50" s="542">
        <v>28</v>
      </c>
      <c r="M50" s="546">
        <v>18</v>
      </c>
      <c r="N50" s="479"/>
      <c r="O50" s="479"/>
      <c r="P50" s="479"/>
      <c r="Q50" s="479"/>
      <c r="R50" s="479"/>
      <c r="S50" s="479"/>
      <c r="T50" s="479"/>
      <c r="U50" s="479"/>
      <c r="V50" s="479"/>
      <c r="W50" s="479"/>
      <c r="X50" s="479"/>
      <c r="Y50" s="479"/>
      <c r="Z50" s="479"/>
      <c r="AA50" s="479"/>
      <c r="AB50" s="479"/>
    </row>
    <row r="51" spans="1:30" ht="21" customHeight="1">
      <c r="A51" s="479"/>
      <c r="B51" s="531"/>
      <c r="C51" s="1341" t="str">
        <f>B1009</f>
        <v>Invitations</v>
      </c>
      <c r="D51" s="1341"/>
      <c r="E51" s="1341"/>
      <c r="F51" s="1341"/>
      <c r="G51" s="1341"/>
      <c r="H51" s="1341"/>
      <c r="I51" s="705"/>
      <c r="J51" s="705"/>
      <c r="K51" s="881" t="s">
        <v>2617</v>
      </c>
      <c r="L51" s="542">
        <v>29</v>
      </c>
      <c r="M51" s="546">
        <v>19</v>
      </c>
      <c r="N51" s="479"/>
      <c r="O51" s="479"/>
      <c r="P51" s="479"/>
      <c r="Q51" s="479"/>
      <c r="R51" s="479"/>
      <c r="S51" s="479"/>
      <c r="T51" s="479"/>
      <c r="U51" s="479"/>
      <c r="V51" s="479"/>
      <c r="W51" s="479"/>
      <c r="X51" s="479"/>
      <c r="Y51" s="479"/>
      <c r="Z51" s="479"/>
      <c r="AA51" s="479"/>
      <c r="AB51" s="479"/>
    </row>
    <row r="52" spans="1:30" ht="21" customHeight="1">
      <c r="A52" s="479"/>
      <c r="B52" s="531"/>
      <c r="C52" s="1342" t="str">
        <f>B1044</f>
        <v>Getting started</v>
      </c>
      <c r="D52" s="1342"/>
      <c r="E52" s="1342"/>
      <c r="F52" s="1342"/>
      <c r="G52" s="1342"/>
      <c r="H52" s="1342"/>
      <c r="I52" s="525"/>
      <c r="J52" s="525"/>
      <c r="K52" s="708"/>
      <c r="L52" s="542">
        <v>30</v>
      </c>
      <c r="M52" s="546">
        <v>20</v>
      </c>
      <c r="N52" s="479"/>
      <c r="O52" s="479"/>
      <c r="P52" s="479"/>
      <c r="Q52" s="479"/>
      <c r="R52" s="479"/>
      <c r="S52" s="479"/>
      <c r="T52" s="479"/>
      <c r="U52" s="479"/>
      <c r="V52" s="479"/>
      <c r="W52" s="479"/>
      <c r="X52" s="479"/>
      <c r="Y52" s="479"/>
      <c r="Z52" s="479"/>
      <c r="AA52" s="479"/>
      <c r="AB52" s="479"/>
    </row>
    <row r="53" spans="1:30" ht="10.050000000000001" customHeight="1" thickBot="1">
      <c r="A53" s="479"/>
      <c r="B53" s="535"/>
      <c r="C53" s="540"/>
      <c r="D53" s="540"/>
      <c r="E53" s="536"/>
      <c r="F53" s="536"/>
      <c r="G53" s="536"/>
      <c r="H53" s="536"/>
      <c r="I53" s="536"/>
      <c r="J53" s="536"/>
      <c r="K53" s="536"/>
      <c r="L53" s="536"/>
      <c r="M53" s="537"/>
      <c r="N53" s="479"/>
      <c r="O53" s="479"/>
      <c r="P53" s="479"/>
      <c r="Q53" s="479"/>
      <c r="R53" s="479"/>
      <c r="S53" s="479"/>
      <c r="T53" s="479"/>
      <c r="U53" s="479"/>
      <c r="V53" s="479"/>
      <c r="W53" s="479"/>
      <c r="X53" s="479"/>
      <c r="Y53" s="479"/>
      <c r="Z53" s="479"/>
      <c r="AA53" s="479"/>
      <c r="AB53" s="479"/>
    </row>
    <row r="54" spans="1:30" ht="15" customHeight="1">
      <c r="A54" s="479"/>
      <c r="B54" s="479"/>
      <c r="C54" s="479"/>
      <c r="D54" s="479"/>
      <c r="E54" s="479"/>
      <c r="F54" s="479"/>
      <c r="G54" s="479"/>
      <c r="H54" s="479"/>
      <c r="I54" s="479"/>
      <c r="J54" s="479"/>
      <c r="K54" s="479"/>
      <c r="L54" s="479"/>
      <c r="M54" s="479"/>
      <c r="N54" s="479"/>
      <c r="O54" s="479"/>
      <c r="P54" s="479"/>
      <c r="Q54" s="479"/>
      <c r="R54" s="479"/>
      <c r="S54" s="479"/>
      <c r="T54" s="479"/>
      <c r="U54" s="479"/>
      <c r="V54" s="479"/>
      <c r="W54" s="479"/>
      <c r="X54" s="479"/>
      <c r="Y54" s="479"/>
      <c r="Z54" s="479"/>
      <c r="AA54" s="479"/>
      <c r="AB54" s="479"/>
    </row>
    <row r="55" spans="1:30" ht="45" customHeight="1">
      <c r="A55" s="851" t="s">
        <v>1148</v>
      </c>
      <c r="B55" s="882" t="s">
        <v>1790</v>
      </c>
      <c r="C55" s="882"/>
      <c r="D55" s="882"/>
      <c r="E55" s="388"/>
      <c r="F55" s="388"/>
      <c r="G55" s="388"/>
      <c r="H55" s="388"/>
      <c r="I55" s="388"/>
      <c r="J55" s="388"/>
      <c r="K55" s="388"/>
      <c r="L55" s="388"/>
      <c r="M55" s="388"/>
      <c r="N55" s="653" t="s">
        <v>1149</v>
      </c>
      <c r="O55" s="368"/>
      <c r="P55" s="1293" t="s">
        <v>1246</v>
      </c>
      <c r="Q55" s="1293"/>
      <c r="R55" s="1293"/>
      <c r="S55" s="1293"/>
      <c r="T55" s="1293"/>
      <c r="U55" s="1293"/>
      <c r="V55" s="1293"/>
      <c r="W55" s="371"/>
      <c r="X55" s="369"/>
      <c r="Y55" s="369"/>
      <c r="Z55" s="369"/>
      <c r="AA55" s="369"/>
      <c r="AB55" s="653" t="s">
        <v>1149</v>
      </c>
      <c r="AC55" s="1"/>
    </row>
    <row r="56" spans="1:30" ht="15">
      <c r="A56" s="378"/>
      <c r="B56" s="379"/>
      <c r="C56" s="379"/>
      <c r="D56" s="379"/>
      <c r="E56" s="379"/>
      <c r="F56" s="379"/>
      <c r="G56" s="379"/>
      <c r="H56" s="379"/>
      <c r="I56" s="379"/>
      <c r="J56" s="379"/>
      <c r="K56" s="379"/>
      <c r="L56" s="379"/>
      <c r="M56" s="379"/>
      <c r="N56" s="380"/>
      <c r="O56" s="378"/>
      <c r="P56" s="379"/>
      <c r="Q56" s="379"/>
      <c r="R56" s="379"/>
      <c r="S56" s="379"/>
      <c r="T56" s="379"/>
      <c r="U56" s="379"/>
      <c r="V56" s="379"/>
      <c r="W56" s="379"/>
      <c r="X56" s="379"/>
      <c r="Y56" s="379"/>
      <c r="Z56" s="379"/>
      <c r="AA56" s="379"/>
      <c r="AB56" s="522"/>
      <c r="AC56" s="1"/>
    </row>
    <row r="57" spans="1:30">
      <c r="A57" s="197"/>
      <c r="B57" s="195"/>
      <c r="C57" s="195"/>
      <c r="D57" s="195"/>
      <c r="E57" s="195"/>
      <c r="F57" s="195"/>
      <c r="G57" s="195"/>
      <c r="H57" s="195"/>
      <c r="I57" s="195"/>
      <c r="J57" s="195"/>
      <c r="K57" s="195"/>
      <c r="L57" s="195"/>
      <c r="M57" s="195"/>
      <c r="N57" s="196"/>
      <c r="O57" s="197"/>
      <c r="P57" s="195"/>
      <c r="Q57" s="195"/>
      <c r="R57" s="195"/>
      <c r="S57" s="195"/>
      <c r="T57" s="195"/>
      <c r="U57" s="195"/>
      <c r="V57" s="195"/>
      <c r="W57" s="195"/>
      <c r="X57" s="195"/>
      <c r="Y57" s="195"/>
      <c r="Z57" s="195"/>
      <c r="AA57" s="195"/>
      <c r="AB57" s="906"/>
      <c r="AC57" s="1"/>
    </row>
    <row r="58" spans="1:30" ht="30" customHeight="1">
      <c r="A58" s="197"/>
      <c r="B58" s="195"/>
      <c r="C58" s="195"/>
      <c r="D58" s="195"/>
      <c r="E58" s="195"/>
      <c r="F58" s="195"/>
      <c r="G58" s="195"/>
      <c r="H58" s="195"/>
      <c r="I58" s="195"/>
      <c r="J58" s="195"/>
      <c r="K58" s="195"/>
      <c r="L58" s="195"/>
      <c r="M58" s="195"/>
      <c r="N58" s="196"/>
      <c r="O58" s="197"/>
      <c r="P58" s="195"/>
      <c r="Q58" s="195"/>
      <c r="R58" s="195"/>
      <c r="S58" s="195"/>
      <c r="T58" s="195"/>
      <c r="U58" s="195"/>
      <c r="V58" s="195"/>
      <c r="W58" s="195"/>
      <c r="X58" s="195"/>
      <c r="Y58" s="195"/>
      <c r="Z58" s="195"/>
      <c r="AA58" s="195"/>
      <c r="AB58" s="196"/>
      <c r="AC58" s="1"/>
    </row>
    <row r="59" spans="1:30">
      <c r="A59" s="197"/>
      <c r="B59" s="195"/>
      <c r="C59" s="195"/>
      <c r="D59" s="195"/>
      <c r="E59" s="195"/>
      <c r="F59" s="195"/>
      <c r="G59" s="195"/>
      <c r="H59" s="195"/>
      <c r="I59" s="195"/>
      <c r="J59" s="195"/>
      <c r="K59" s="195"/>
      <c r="L59" s="195"/>
      <c r="M59" s="195"/>
      <c r="N59" s="196"/>
      <c r="O59" s="197"/>
      <c r="P59" s="195"/>
      <c r="Q59" s="195"/>
      <c r="R59" s="195"/>
      <c r="S59" s="195"/>
      <c r="T59" s="195"/>
      <c r="U59" s="195"/>
      <c r="V59" s="195"/>
      <c r="W59" s="195"/>
      <c r="X59" s="195"/>
      <c r="Y59" s="195"/>
      <c r="Z59" s="195"/>
      <c r="AA59" s="195"/>
      <c r="AB59" s="196"/>
      <c r="AC59" s="1"/>
      <c r="AD59" s="654"/>
    </row>
    <row r="60" spans="1:30">
      <c r="A60" s="197"/>
      <c r="B60" s="195"/>
      <c r="C60" s="195"/>
      <c r="D60" s="195"/>
      <c r="E60" s="195"/>
      <c r="F60" s="195"/>
      <c r="G60" s="195"/>
      <c r="H60" s="195"/>
      <c r="I60" s="195"/>
      <c r="J60" s="195"/>
      <c r="K60" s="195"/>
      <c r="L60" s="195"/>
      <c r="M60" s="195"/>
      <c r="N60" s="196"/>
      <c r="O60" s="197"/>
      <c r="P60" s="195"/>
      <c r="Q60" s="195"/>
      <c r="R60" s="195"/>
      <c r="S60" s="195"/>
      <c r="T60" s="195"/>
      <c r="U60" s="195"/>
      <c r="V60" s="195"/>
      <c r="W60" s="195"/>
      <c r="X60" s="195"/>
      <c r="Y60" s="195"/>
      <c r="Z60" s="195"/>
      <c r="AA60" s="195"/>
      <c r="AB60" s="196"/>
      <c r="AC60" s="1"/>
    </row>
    <row r="61" spans="1:30">
      <c r="A61" s="197"/>
      <c r="B61" s="195"/>
      <c r="C61" s="195"/>
      <c r="D61" s="195"/>
      <c r="E61" s="195"/>
      <c r="F61" s="195"/>
      <c r="G61" s="195"/>
      <c r="H61" s="195"/>
      <c r="I61" s="195"/>
      <c r="J61" s="195"/>
      <c r="K61" s="195"/>
      <c r="L61" s="195"/>
      <c r="M61" s="195"/>
      <c r="N61" s="196"/>
      <c r="O61" s="197"/>
      <c r="P61" s="195"/>
      <c r="Q61" s="195"/>
      <c r="R61" s="195"/>
      <c r="S61" s="195"/>
      <c r="T61" s="195"/>
      <c r="U61" s="195"/>
      <c r="V61" s="195"/>
      <c r="W61" s="195"/>
      <c r="X61" s="195"/>
      <c r="Y61" s="195"/>
      <c r="Z61" s="195"/>
      <c r="AA61" s="195"/>
      <c r="AB61" s="196"/>
      <c r="AC61" s="1"/>
    </row>
    <row r="62" spans="1:30">
      <c r="A62" s="197"/>
      <c r="B62" s="195"/>
      <c r="C62" s="195"/>
      <c r="D62" s="195"/>
      <c r="E62" s="195"/>
      <c r="F62" s="195"/>
      <c r="G62" s="195"/>
      <c r="H62" s="195"/>
      <c r="I62" s="195"/>
      <c r="J62" s="195"/>
      <c r="K62" s="195"/>
      <c r="L62" s="195"/>
      <c r="M62" s="195"/>
      <c r="N62" s="196"/>
      <c r="O62" s="197"/>
      <c r="P62" s="195"/>
      <c r="Q62" s="195"/>
      <c r="R62" s="195"/>
      <c r="S62" s="195"/>
      <c r="T62" s="195"/>
      <c r="U62" s="195"/>
      <c r="V62" s="195"/>
      <c r="W62" s="195"/>
      <c r="X62" s="195"/>
      <c r="Y62" s="195"/>
      <c r="Z62" s="195"/>
      <c r="AA62" s="195"/>
      <c r="AB62" s="196"/>
      <c r="AC62" s="1"/>
    </row>
    <row r="63" spans="1:30">
      <c r="A63" s="197"/>
      <c r="B63" s="195"/>
      <c r="C63" s="195"/>
      <c r="D63" s="195"/>
      <c r="E63" s="195"/>
      <c r="F63" s="195"/>
      <c r="G63" s="195"/>
      <c r="H63" s="195"/>
      <c r="I63" s="195"/>
      <c r="J63" s="195"/>
      <c r="K63" s="195"/>
      <c r="L63" s="195"/>
      <c r="M63" s="195"/>
      <c r="N63" s="196"/>
      <c r="O63" s="197"/>
      <c r="P63" s="195"/>
      <c r="Q63" s="195"/>
      <c r="R63" s="195"/>
      <c r="S63" s="195"/>
      <c r="T63" s="195"/>
      <c r="U63" s="195"/>
      <c r="V63" s="195"/>
      <c r="W63" s="195"/>
      <c r="X63" s="195"/>
      <c r="Y63" s="195"/>
      <c r="Z63" s="195"/>
      <c r="AA63" s="195"/>
      <c r="AB63" s="196"/>
      <c r="AC63" s="1"/>
    </row>
    <row r="64" spans="1:30">
      <c r="A64" s="197"/>
      <c r="B64" s="195"/>
      <c r="C64" s="195"/>
      <c r="D64" s="195"/>
      <c r="E64" s="195"/>
      <c r="F64" s="195"/>
      <c r="G64" s="195"/>
      <c r="H64" s="195"/>
      <c r="I64" s="195"/>
      <c r="J64" s="195"/>
      <c r="K64" s="195"/>
      <c r="L64" s="195"/>
      <c r="M64" s="195"/>
      <c r="N64" s="196"/>
      <c r="O64" s="197"/>
      <c r="P64" s="195"/>
      <c r="Q64" s="195"/>
      <c r="R64" s="195"/>
      <c r="S64" s="195"/>
      <c r="T64" s="195"/>
      <c r="U64" s="195"/>
      <c r="V64" s="195"/>
      <c r="W64" s="195"/>
      <c r="X64" s="195"/>
      <c r="Y64" s="195"/>
      <c r="Z64" s="195"/>
      <c r="AA64" s="195"/>
      <c r="AB64" s="196"/>
      <c r="AC64" s="1"/>
    </row>
    <row r="65" spans="1:29">
      <c r="A65" s="197"/>
      <c r="B65" s="195"/>
      <c r="C65" s="195"/>
      <c r="D65" s="195"/>
      <c r="E65" s="195"/>
      <c r="F65" s="195"/>
      <c r="G65" s="195"/>
      <c r="H65" s="195"/>
      <c r="I65" s="195"/>
      <c r="J65" s="195"/>
      <c r="K65" s="195"/>
      <c r="L65" s="195"/>
      <c r="M65" s="195"/>
      <c r="N65" s="196"/>
      <c r="O65" s="197"/>
      <c r="P65" s="195"/>
      <c r="Q65" s="195"/>
      <c r="R65" s="195"/>
      <c r="S65" s="195"/>
      <c r="T65" s="195"/>
      <c r="U65" s="195"/>
      <c r="V65" s="195"/>
      <c r="W65" s="195"/>
      <c r="X65" s="195"/>
      <c r="Y65" s="195"/>
      <c r="Z65" s="195"/>
      <c r="AA65" s="195"/>
      <c r="AB65" s="196"/>
      <c r="AC65" s="1"/>
    </row>
    <row r="66" spans="1:29">
      <c r="A66" s="197"/>
      <c r="B66" s="195"/>
      <c r="C66" s="195"/>
      <c r="D66" s="195"/>
      <c r="E66" s="195"/>
      <c r="F66" s="195"/>
      <c r="G66" s="195"/>
      <c r="H66" s="195"/>
      <c r="I66" s="195"/>
      <c r="J66" s="195"/>
      <c r="K66" s="195"/>
      <c r="L66" s="195"/>
      <c r="M66" s="195"/>
      <c r="N66" s="196"/>
      <c r="O66" s="197"/>
      <c r="P66" s="195"/>
      <c r="Q66" s="195"/>
      <c r="R66" s="195"/>
      <c r="S66" s="195"/>
      <c r="T66" s="195"/>
      <c r="U66" s="195"/>
      <c r="V66" s="195"/>
      <c r="W66" s="195"/>
      <c r="X66" s="195"/>
      <c r="Y66" s="195"/>
      <c r="Z66" s="195"/>
      <c r="AA66" s="195"/>
      <c r="AB66" s="196"/>
      <c r="AC66" s="1"/>
    </row>
    <row r="67" spans="1:29" ht="30" customHeight="1">
      <c r="A67" s="197"/>
      <c r="B67" s="195"/>
      <c r="C67" s="195"/>
      <c r="D67" s="195"/>
      <c r="E67" s="195"/>
      <c r="F67" s="195"/>
      <c r="G67" s="195"/>
      <c r="H67" s="195"/>
      <c r="I67" s="195"/>
      <c r="J67" s="195"/>
      <c r="K67" s="195"/>
      <c r="L67" s="195"/>
      <c r="M67" s="195"/>
      <c r="N67" s="196"/>
      <c r="O67" s="197"/>
      <c r="P67" s="195"/>
      <c r="Q67" s="195"/>
      <c r="R67" s="195"/>
      <c r="S67" s="195"/>
      <c r="T67" s="195"/>
      <c r="U67" s="195"/>
      <c r="V67" s="195"/>
      <c r="W67" s="195"/>
      <c r="X67" s="195"/>
      <c r="Y67" s="195"/>
      <c r="Z67" s="195"/>
      <c r="AA67" s="195"/>
      <c r="AB67" s="196"/>
      <c r="AC67" s="1"/>
    </row>
    <row r="68" spans="1:29">
      <c r="A68" s="197"/>
      <c r="B68" s="195"/>
      <c r="C68" s="195"/>
      <c r="D68" s="195"/>
      <c r="E68" s="195"/>
      <c r="F68" s="195"/>
      <c r="G68" s="195"/>
      <c r="H68" s="195"/>
      <c r="I68" s="195"/>
      <c r="J68" s="195"/>
      <c r="K68" s="195"/>
      <c r="L68" s="195"/>
      <c r="M68" s="195"/>
      <c r="N68" s="196"/>
      <c r="O68" s="197"/>
      <c r="P68" s="195"/>
      <c r="Q68" s="195"/>
      <c r="R68" s="195"/>
      <c r="S68" s="195"/>
      <c r="T68" s="195"/>
      <c r="U68" s="195"/>
      <c r="V68" s="195"/>
      <c r="W68" s="195"/>
      <c r="X68" s="195"/>
      <c r="Y68" s="195"/>
      <c r="Z68" s="195"/>
      <c r="AA68" s="195"/>
      <c r="AB68" s="196"/>
      <c r="AC68" s="1"/>
    </row>
    <row r="69" spans="1:29">
      <c r="A69" s="197"/>
      <c r="B69" s="195"/>
      <c r="C69" s="195"/>
      <c r="D69" s="195"/>
      <c r="E69" s="195"/>
      <c r="F69" s="195"/>
      <c r="G69" s="195"/>
      <c r="H69" s="195"/>
      <c r="I69" s="195"/>
      <c r="J69" s="195"/>
      <c r="K69" s="195"/>
      <c r="L69" s="195"/>
      <c r="M69" s="195"/>
      <c r="N69" s="196"/>
      <c r="O69" s="197"/>
      <c r="P69" s="195"/>
      <c r="Q69" s="195"/>
      <c r="R69" s="195"/>
      <c r="S69" s="195"/>
      <c r="T69" s="195"/>
      <c r="U69" s="195"/>
      <c r="V69" s="195"/>
      <c r="W69" s="195"/>
      <c r="X69" s="195"/>
      <c r="Y69" s="195"/>
      <c r="Z69" s="195"/>
      <c r="AA69" s="195"/>
      <c r="AB69" s="196"/>
      <c r="AC69" s="1"/>
    </row>
    <row r="70" spans="1:29" ht="19.95" customHeight="1">
      <c r="A70" s="197"/>
      <c r="B70" s="195"/>
      <c r="C70" s="195"/>
      <c r="D70" s="195"/>
      <c r="E70" s="195"/>
      <c r="F70" s="195"/>
      <c r="G70" s="195"/>
      <c r="H70" s="195"/>
      <c r="I70" s="195"/>
      <c r="J70" s="195"/>
      <c r="K70" s="195"/>
      <c r="L70" s="195"/>
      <c r="M70" s="195"/>
      <c r="N70" s="196"/>
      <c r="O70" s="197"/>
      <c r="P70" s="195"/>
      <c r="Q70" s="195"/>
      <c r="R70" s="195"/>
      <c r="S70" s="195"/>
      <c r="T70" s="195"/>
      <c r="U70" s="195"/>
      <c r="V70" s="195"/>
      <c r="W70" s="195"/>
      <c r="X70" s="195"/>
      <c r="Y70" s="195"/>
      <c r="Z70" s="195"/>
      <c r="AA70" s="195"/>
      <c r="AB70" s="196"/>
      <c r="AC70" s="1"/>
    </row>
    <row r="71" spans="1:29" ht="19.95" customHeight="1">
      <c r="A71" s="197"/>
      <c r="B71" s="195"/>
      <c r="C71" s="195"/>
      <c r="D71" s="195"/>
      <c r="E71" s="195"/>
      <c r="F71" s="195"/>
      <c r="G71" s="195"/>
      <c r="H71" s="195"/>
      <c r="I71" s="195"/>
      <c r="J71" s="195"/>
      <c r="K71" s="195"/>
      <c r="L71" s="195"/>
      <c r="M71" s="195"/>
      <c r="N71" s="196"/>
      <c r="O71" s="197"/>
      <c r="P71" s="195"/>
      <c r="Q71" s="195"/>
      <c r="R71" s="195"/>
      <c r="S71" s="195"/>
      <c r="T71" s="195"/>
      <c r="U71" s="195"/>
      <c r="V71" s="195"/>
      <c r="W71" s="195"/>
      <c r="X71" s="195"/>
      <c r="Y71" s="195"/>
      <c r="Z71" s="195"/>
      <c r="AA71" s="195"/>
      <c r="AB71" s="196"/>
      <c r="AC71" s="1"/>
    </row>
    <row r="72" spans="1:29" ht="19.95" customHeight="1">
      <c r="A72" s="197"/>
      <c r="B72" s="195"/>
      <c r="C72" s="195"/>
      <c r="D72" s="195"/>
      <c r="E72" s="195"/>
      <c r="F72" s="195"/>
      <c r="G72" s="195"/>
      <c r="H72" s="195"/>
      <c r="I72" s="195"/>
      <c r="J72" s="195"/>
      <c r="K72" s="195"/>
      <c r="L72" s="195"/>
      <c r="M72" s="195"/>
      <c r="N72" s="196"/>
      <c r="O72" s="197"/>
      <c r="P72" s="195"/>
      <c r="Q72" s="195"/>
      <c r="R72" s="195"/>
      <c r="S72" s="195"/>
      <c r="T72" s="195"/>
      <c r="U72" s="195"/>
      <c r="V72" s="195"/>
      <c r="W72" s="195"/>
      <c r="X72" s="195"/>
      <c r="Y72" s="195"/>
      <c r="Z72" s="195"/>
      <c r="AA72" s="195"/>
      <c r="AB72" s="196"/>
      <c r="AC72" s="1"/>
    </row>
    <row r="73" spans="1:29" ht="19.95" customHeight="1">
      <c r="A73" s="197"/>
      <c r="B73" s="195"/>
      <c r="C73" s="195"/>
      <c r="D73" s="195"/>
      <c r="E73" s="195"/>
      <c r="F73" s="195"/>
      <c r="G73" s="195"/>
      <c r="H73" s="195"/>
      <c r="I73" s="195"/>
      <c r="J73" s="195"/>
      <c r="K73" s="195"/>
      <c r="L73" s="195"/>
      <c r="M73" s="195"/>
      <c r="N73" s="196"/>
      <c r="O73" s="197"/>
      <c r="P73" s="195"/>
      <c r="Q73" s="195"/>
      <c r="R73" s="195"/>
      <c r="S73" s="195"/>
      <c r="T73" s="195"/>
      <c r="U73" s="195"/>
      <c r="V73" s="195"/>
      <c r="W73" s="195"/>
      <c r="X73" s="195"/>
      <c r="Y73" s="195"/>
      <c r="Z73" s="195"/>
      <c r="AA73" s="195"/>
      <c r="AB73" s="196"/>
      <c r="AC73" s="1"/>
    </row>
    <row r="74" spans="1:29" ht="19.95" customHeight="1">
      <c r="A74" s="197"/>
      <c r="B74" s="195"/>
      <c r="C74" s="195"/>
      <c r="D74" s="195"/>
      <c r="E74" s="195"/>
      <c r="F74" s="195"/>
      <c r="G74" s="195"/>
      <c r="H74" s="195"/>
      <c r="I74" s="195"/>
      <c r="J74" s="195"/>
      <c r="K74" s="195"/>
      <c r="L74" s="195"/>
      <c r="M74" s="195"/>
      <c r="N74" s="196"/>
      <c r="O74" s="197"/>
      <c r="P74" s="195"/>
      <c r="Q74" s="195"/>
      <c r="R74" s="195"/>
      <c r="S74" s="195"/>
      <c r="T74" s="195"/>
      <c r="U74" s="195"/>
      <c r="V74" s="195"/>
      <c r="W74" s="195"/>
      <c r="X74" s="195"/>
      <c r="Y74" s="195"/>
      <c r="Z74" s="195"/>
      <c r="AA74" s="195"/>
      <c r="AB74" s="196"/>
      <c r="AC74" s="1"/>
    </row>
    <row r="75" spans="1:29" ht="19.95" customHeight="1">
      <c r="A75" s="197"/>
      <c r="B75" s="195"/>
      <c r="C75" s="195"/>
      <c r="D75" s="195"/>
      <c r="E75" s="195"/>
      <c r="F75" s="195"/>
      <c r="G75" s="195"/>
      <c r="H75" s="195"/>
      <c r="I75" s="195"/>
      <c r="J75" s="195"/>
      <c r="K75" s="195"/>
      <c r="L75" s="195"/>
      <c r="M75" s="195"/>
      <c r="N75" s="196"/>
      <c r="O75" s="197"/>
      <c r="P75" s="195"/>
      <c r="Q75" s="195"/>
      <c r="R75" s="195"/>
      <c r="S75" s="195"/>
      <c r="T75" s="195"/>
      <c r="U75" s="195"/>
      <c r="V75" s="195"/>
      <c r="W75" s="195"/>
      <c r="X75" s="195"/>
      <c r="Y75" s="195"/>
      <c r="Z75" s="195"/>
      <c r="AA75" s="195"/>
      <c r="AB75" s="196"/>
      <c r="AC75" s="1"/>
    </row>
    <row r="76" spans="1:29" ht="19.95" customHeight="1">
      <c r="A76" s="197"/>
      <c r="B76" s="195"/>
      <c r="C76" s="195"/>
      <c r="D76" s="195"/>
      <c r="E76" s="195"/>
      <c r="F76" s="195"/>
      <c r="G76" s="195"/>
      <c r="H76" s="195"/>
      <c r="I76" s="195"/>
      <c r="J76" s="195"/>
      <c r="K76" s="195"/>
      <c r="L76" s="195"/>
      <c r="M76" s="195"/>
      <c r="N76" s="196"/>
      <c r="O76" s="197"/>
      <c r="P76" s="195"/>
      <c r="Q76" s="195"/>
      <c r="R76" s="195"/>
      <c r="S76" s="195"/>
      <c r="T76" s="195"/>
      <c r="U76" s="195"/>
      <c r="V76" s="195"/>
      <c r="W76" s="195"/>
      <c r="X76" s="195"/>
      <c r="Y76" s="195"/>
      <c r="Z76" s="195"/>
      <c r="AA76" s="195"/>
      <c r="AB76" s="196"/>
      <c r="AC76" s="1"/>
    </row>
    <row r="77" spans="1:29" ht="19.95" customHeight="1">
      <c r="A77" s="197"/>
      <c r="B77" s="195"/>
      <c r="C77" s="195"/>
      <c r="D77" s="195"/>
      <c r="E77" s="195"/>
      <c r="F77" s="195"/>
      <c r="G77" s="195"/>
      <c r="H77" s="195"/>
      <c r="I77" s="195"/>
      <c r="J77" s="195"/>
      <c r="K77" s="195"/>
      <c r="L77" s="195"/>
      <c r="M77" s="195"/>
      <c r="N77" s="196"/>
      <c r="O77" s="197"/>
      <c r="P77" s="195"/>
      <c r="Q77" s="195"/>
      <c r="R77" s="195"/>
      <c r="S77" s="195"/>
      <c r="T77" s="195"/>
      <c r="U77" s="195"/>
      <c r="V77" s="195"/>
      <c r="W77" s="195"/>
      <c r="X77" s="195"/>
      <c r="Y77" s="195"/>
      <c r="Z77" s="195"/>
      <c r="AA77" s="195"/>
      <c r="AB77" s="196"/>
      <c r="AC77" s="1"/>
    </row>
    <row r="78" spans="1:29" ht="19.95" customHeight="1">
      <c r="A78" s="197"/>
      <c r="B78" s="195"/>
      <c r="C78" s="195"/>
      <c r="D78" s="195"/>
      <c r="E78" s="195"/>
      <c r="F78" s="195"/>
      <c r="G78" s="195"/>
      <c r="H78" s="195"/>
      <c r="I78" s="195"/>
      <c r="J78" s="195"/>
      <c r="K78" s="195"/>
      <c r="L78" s="195"/>
      <c r="M78" s="195"/>
      <c r="N78" s="196"/>
      <c r="O78" s="197"/>
      <c r="P78" s="195"/>
      <c r="Q78" s="195"/>
      <c r="R78" s="195"/>
      <c r="S78" s="195"/>
      <c r="T78" s="195"/>
      <c r="U78" s="195"/>
      <c r="V78" s="195"/>
      <c r="W78" s="195"/>
      <c r="X78" s="195"/>
      <c r="Y78" s="195"/>
      <c r="Z78" s="195"/>
      <c r="AA78" s="195"/>
      <c r="AB78" s="196"/>
      <c r="AC78" s="1"/>
    </row>
    <row r="79" spans="1:29" ht="19.95" customHeight="1">
      <c r="A79" s="197"/>
      <c r="B79" s="195"/>
      <c r="C79" s="195"/>
      <c r="D79" s="195"/>
      <c r="E79" s="195"/>
      <c r="F79" s="195"/>
      <c r="G79" s="195"/>
      <c r="H79" s="195"/>
      <c r="I79" s="195"/>
      <c r="J79" s="195"/>
      <c r="K79" s="195"/>
      <c r="L79" s="195"/>
      <c r="M79" s="195"/>
      <c r="N79" s="196"/>
      <c r="O79" s="197"/>
      <c r="P79" s="195"/>
      <c r="Q79" s="195"/>
      <c r="R79" s="195"/>
      <c r="S79" s="195"/>
      <c r="T79" s="195"/>
      <c r="U79" s="195"/>
      <c r="V79" s="195"/>
      <c r="W79" s="195"/>
      <c r="X79" s="195"/>
      <c r="Y79" s="195"/>
      <c r="Z79" s="195"/>
      <c r="AA79" s="195"/>
      <c r="AB79" s="196"/>
      <c r="AC79" s="1"/>
    </row>
    <row r="80" spans="1:29" ht="19.95" customHeight="1">
      <c r="A80" s="197"/>
      <c r="B80" s="195"/>
      <c r="C80" s="195"/>
      <c r="D80" s="195"/>
      <c r="E80" s="195"/>
      <c r="F80" s="195"/>
      <c r="G80" s="195"/>
      <c r="H80" s="195"/>
      <c r="I80" s="195"/>
      <c r="J80" s="195"/>
      <c r="K80" s="195"/>
      <c r="L80" s="195"/>
      <c r="M80" s="195"/>
      <c r="N80" s="196"/>
      <c r="O80" s="197"/>
      <c r="P80" s="195"/>
      <c r="Q80" s="195"/>
      <c r="R80" s="195"/>
      <c r="S80" s="195"/>
      <c r="T80" s="195"/>
      <c r="U80" s="195"/>
      <c r="V80" s="195"/>
      <c r="W80" s="195"/>
      <c r="X80" s="195"/>
      <c r="Y80" s="195"/>
      <c r="Z80" s="195"/>
      <c r="AA80" s="195"/>
      <c r="AB80" s="196"/>
      <c r="AC80" s="1"/>
    </row>
    <row r="81" spans="1:45" ht="19.95" customHeight="1">
      <c r="A81" s="197"/>
      <c r="B81" s="195"/>
      <c r="C81" s="195"/>
      <c r="D81" s="195"/>
      <c r="E81" s="195"/>
      <c r="F81" s="195"/>
      <c r="G81" s="195"/>
      <c r="H81" s="195"/>
      <c r="I81" s="195"/>
      <c r="J81" s="195"/>
      <c r="K81" s="195"/>
      <c r="L81" s="195"/>
      <c r="M81" s="195"/>
      <c r="N81" s="196"/>
      <c r="O81" s="197"/>
      <c r="P81" s="195"/>
      <c r="Q81" s="195"/>
      <c r="R81" s="195"/>
      <c r="S81" s="195"/>
      <c r="T81" s="195"/>
      <c r="U81" s="195"/>
      <c r="V81" s="195"/>
      <c r="W81" s="195"/>
      <c r="X81" s="195"/>
      <c r="Y81" s="195"/>
      <c r="Z81" s="195"/>
      <c r="AA81" s="195"/>
      <c r="AB81" s="196"/>
      <c r="AC81" s="1"/>
    </row>
    <row r="82" spans="1:45" ht="19.95" customHeight="1">
      <c r="A82" s="197"/>
      <c r="B82" s="195"/>
      <c r="C82" s="195"/>
      <c r="D82" s="195"/>
      <c r="E82" s="195"/>
      <c r="F82" s="195"/>
      <c r="G82" s="195"/>
      <c r="H82" s="195"/>
      <c r="I82" s="195"/>
      <c r="J82" s="195"/>
      <c r="K82" s="195"/>
      <c r="L82" s="195"/>
      <c r="M82" s="195"/>
      <c r="N82" s="196"/>
      <c r="O82" s="197"/>
      <c r="P82" s="195"/>
      <c r="Q82" s="195"/>
      <c r="R82" s="195"/>
      <c r="S82" s="195"/>
      <c r="T82" s="195"/>
      <c r="U82" s="195"/>
      <c r="V82" s="195"/>
      <c r="W82" s="195"/>
      <c r="X82" s="195"/>
      <c r="Y82" s="195"/>
      <c r="Z82" s="195"/>
      <c r="AA82" s="195"/>
      <c r="AB82" s="196"/>
      <c r="AC82" s="1"/>
    </row>
    <row r="83" spans="1:45" ht="19.95" customHeight="1">
      <c r="A83" s="197"/>
      <c r="B83" s="195"/>
      <c r="C83" s="195"/>
      <c r="D83" s="195"/>
      <c r="E83" s="195"/>
      <c r="F83" s="195"/>
      <c r="G83" s="195"/>
      <c r="H83" s="195"/>
      <c r="I83" s="195"/>
      <c r="J83" s="195"/>
      <c r="K83" s="195"/>
      <c r="L83" s="195"/>
      <c r="M83" s="195"/>
      <c r="N83" s="196"/>
      <c r="O83" s="197"/>
      <c r="P83" s="195"/>
      <c r="Q83" s="195"/>
      <c r="R83" s="195"/>
      <c r="S83" s="195"/>
      <c r="T83" s="195"/>
      <c r="U83" s="195"/>
      <c r="V83" s="195"/>
      <c r="W83" s="195"/>
      <c r="X83" s="195"/>
      <c r="Y83" s="195"/>
      <c r="Z83" s="195"/>
      <c r="AA83" s="195"/>
      <c r="AB83" s="196"/>
      <c r="AC83" s="1"/>
    </row>
    <row r="84" spans="1:45" ht="19.95" customHeight="1">
      <c r="A84" s="197"/>
      <c r="B84" s="195"/>
      <c r="C84" s="195"/>
      <c r="D84" s="195"/>
      <c r="E84" s="195"/>
      <c r="F84" s="195"/>
      <c r="G84" s="195"/>
      <c r="H84" s="195"/>
      <c r="I84" s="195"/>
      <c r="J84" s="195"/>
      <c r="K84" s="195"/>
      <c r="L84" s="195"/>
      <c r="M84" s="195"/>
      <c r="N84" s="196"/>
      <c r="O84" s="197"/>
      <c r="P84" s="195"/>
      <c r="Q84" s="195"/>
      <c r="R84" s="195"/>
      <c r="S84" s="195"/>
      <c r="T84" s="195"/>
      <c r="U84" s="195"/>
      <c r="V84" s="195"/>
      <c r="W84" s="195"/>
      <c r="X84" s="195"/>
      <c r="Y84" s="195"/>
      <c r="Z84" s="195"/>
      <c r="AA84" s="195"/>
      <c r="AB84" s="196"/>
      <c r="AC84" s="1"/>
    </row>
    <row r="85" spans="1:45" ht="19.95" customHeight="1">
      <c r="A85" s="197"/>
      <c r="B85" s="195"/>
      <c r="C85" s="195"/>
      <c r="D85" s="195"/>
      <c r="E85" s="195"/>
      <c r="F85" s="195"/>
      <c r="G85" s="195"/>
      <c r="H85" s="195"/>
      <c r="I85" s="195"/>
      <c r="J85" s="195"/>
      <c r="K85" s="195"/>
      <c r="L85" s="195"/>
      <c r="M85" s="195"/>
      <c r="N85" s="196"/>
      <c r="O85" s="197"/>
      <c r="P85" s="195"/>
      <c r="Q85" s="195"/>
      <c r="R85" s="195"/>
      <c r="S85" s="195"/>
      <c r="T85" s="195"/>
      <c r="U85" s="195"/>
      <c r="V85" s="195"/>
      <c r="W85" s="195"/>
      <c r="X85" s="195"/>
      <c r="Y85" s="195"/>
      <c r="Z85" s="195"/>
      <c r="AA85" s="195"/>
      <c r="AB85" s="196"/>
      <c r="AC85" s="1"/>
      <c r="AK85" s="479" t="str">
        <f>CONCATENATE(AM85,AO85,AP85)</f>
        <v>We simplify your outlook as primarily liberal. No need to complete this.</v>
      </c>
      <c r="AM85" s="570" t="s">
        <v>1741</v>
      </c>
      <c r="AO85" s="2" t="str">
        <f>IF(AS85=AK126,AM126,IF(AS85=AK127,AM127,AM128))</f>
        <v>liberal</v>
      </c>
      <c r="AP85" s="570" t="s">
        <v>1744</v>
      </c>
      <c r="AR85" s="157" t="s">
        <v>1597</v>
      </c>
      <c r="AS85" s="2" t="str">
        <f>E1272</f>
        <v>LIBERAL</v>
      </c>
    </row>
    <row r="86" spans="1:45" ht="19.95" customHeight="1">
      <c r="A86" s="197"/>
      <c r="B86" s="195"/>
      <c r="C86" s="195"/>
      <c r="D86" s="195"/>
      <c r="E86" s="195"/>
      <c r="F86" s="195"/>
      <c r="G86" s="195"/>
      <c r="H86" s="195"/>
      <c r="I86" s="195"/>
      <c r="J86" s="195"/>
      <c r="K86" s="195"/>
      <c r="L86" s="195"/>
      <c r="M86" s="195"/>
      <c r="N86" s="196"/>
      <c r="O86" s="197"/>
      <c r="P86" s="195"/>
      <c r="Q86" s="195"/>
      <c r="R86" s="195"/>
      <c r="S86" s="195"/>
      <c r="T86" s="195"/>
      <c r="U86" s="195"/>
      <c r="V86" s="195"/>
      <c r="W86" s="195"/>
      <c r="X86" s="195"/>
      <c r="Y86" s="195"/>
      <c r="Z86" s="195"/>
      <c r="AA86" s="195"/>
      <c r="AB86" s="196"/>
      <c r="AC86" s="1"/>
      <c r="AK86" s="476" t="str">
        <f>CONCATENATE(AM86,AO86,AP86)</f>
        <v>We simplify your client's outlook as primarily independent. No need to fill out.</v>
      </c>
      <c r="AM86" s="570" t="s">
        <v>1742</v>
      </c>
      <c r="AO86" s="2" t="str">
        <f>IF(AS86=AK126,AM126,IF(AS86=AK127,AM127,AM128))</f>
        <v>independent</v>
      </c>
      <c r="AP86" s="570" t="s">
        <v>1743</v>
      </c>
      <c r="AR86" s="157" t="s">
        <v>1596</v>
      </c>
      <c r="AS86" s="2" t="str">
        <f>E1270</f>
        <v/>
      </c>
    </row>
    <row r="87" spans="1:45" ht="19.95" customHeight="1">
      <c r="A87" s="197"/>
      <c r="B87" s="195"/>
      <c r="C87" s="195"/>
      <c r="D87" s="195"/>
      <c r="E87" s="195"/>
      <c r="F87" s="195"/>
      <c r="G87" s="195"/>
      <c r="H87" s="195"/>
      <c r="I87" s="195"/>
      <c r="J87" s="195"/>
      <c r="K87" s="195"/>
      <c r="L87" s="195"/>
      <c r="M87" s="195"/>
      <c r="N87" s="196"/>
      <c r="O87" s="197"/>
      <c r="P87" s="195"/>
      <c r="Q87" s="195"/>
      <c r="R87" s="195"/>
      <c r="S87" s="195"/>
      <c r="T87" s="195"/>
      <c r="U87" s="195"/>
      <c r="V87" s="195"/>
      <c r="W87" s="195"/>
      <c r="X87" s="195"/>
      <c r="Y87" s="195"/>
      <c r="Z87" s="195"/>
      <c r="AA87" s="195"/>
      <c r="AB87" s="196"/>
      <c r="AC87" s="1"/>
      <c r="AL87" s="2" t="s">
        <v>1739</v>
      </c>
    </row>
    <row r="88" spans="1:45" ht="19.95" customHeight="1">
      <c r="A88" s="197"/>
      <c r="B88" s="195"/>
      <c r="C88" s="195"/>
      <c r="D88" s="195"/>
      <c r="E88" s="195"/>
      <c r="F88" s="195"/>
      <c r="G88" s="195"/>
      <c r="H88" s="195"/>
      <c r="I88" s="195"/>
      <c r="J88" s="195"/>
      <c r="K88" s="195"/>
      <c r="L88" s="195"/>
      <c r="M88" s="195"/>
      <c r="N88" s="196"/>
      <c r="O88" s="197"/>
      <c r="P88" s="195"/>
      <c r="Q88" s="195"/>
      <c r="R88" s="195"/>
      <c r="S88" s="195"/>
      <c r="T88" s="195"/>
      <c r="U88" s="195"/>
      <c r="V88" s="195"/>
      <c r="W88" s="195"/>
      <c r="X88" s="195"/>
      <c r="Y88" s="195"/>
      <c r="Z88" s="195"/>
      <c r="AA88" s="195"/>
      <c r="AB88" s="196"/>
      <c r="AC88" s="1"/>
      <c r="AL88" s="2" t="s">
        <v>1740</v>
      </c>
    </row>
    <row r="89" spans="1:45">
      <c r="A89" s="207"/>
      <c r="B89" s="208"/>
      <c r="C89" s="208"/>
      <c r="D89" s="208"/>
      <c r="E89" s="208"/>
      <c r="F89" s="208"/>
      <c r="G89" s="208"/>
      <c r="H89" s="208"/>
      <c r="I89" s="208"/>
      <c r="J89" s="208"/>
      <c r="K89" s="208"/>
      <c r="L89" s="208"/>
      <c r="M89" s="208"/>
      <c r="N89" s="209"/>
      <c r="O89" s="207"/>
      <c r="P89" s="208"/>
      <c r="Q89" s="208"/>
      <c r="R89" s="208"/>
      <c r="S89" s="208"/>
      <c r="T89" s="208"/>
      <c r="U89" s="208"/>
      <c r="V89" s="208"/>
      <c r="W89" s="208"/>
      <c r="X89" s="208"/>
      <c r="Y89" s="208"/>
      <c r="Z89" s="208"/>
      <c r="AA89" s="208"/>
      <c r="AB89" s="209"/>
      <c r="AC89" s="1"/>
      <c r="AK89" s="479" t="str">
        <f>IF(AO127=AM128,AM90,CONCATENATE(AM89,AN89,AO89,AP89,AQ89,AR89,AS89))</f>
        <v>According to your responses, you are an independent.</v>
      </c>
      <c r="AM89" s="478" t="s">
        <v>1732</v>
      </c>
      <c r="AN89" s="2" t="str">
        <f>AO127</f>
        <v>independent</v>
      </c>
      <c r="AO89" s="478" t="s">
        <v>1733</v>
      </c>
      <c r="AP89" s="2" t="str">
        <f>AO128</f>
        <v>independent</v>
      </c>
      <c r="AQ89" s="478" t="s">
        <v>706</v>
      </c>
      <c r="AS89" s="478"/>
    </row>
    <row r="90" spans="1:45" ht="30" customHeight="1">
      <c r="A90" s="852" t="s">
        <v>1148</v>
      </c>
      <c r="B90" s="1338" t="s">
        <v>2538</v>
      </c>
      <c r="C90" s="1338"/>
      <c r="D90" s="1338"/>
      <c r="E90" s="1338"/>
      <c r="F90" s="1338"/>
      <c r="G90" s="1338"/>
      <c r="H90" s="1338"/>
      <c r="I90" s="1338"/>
      <c r="J90" s="883"/>
      <c r="K90" s="883"/>
      <c r="L90" s="883"/>
      <c r="M90" s="883"/>
      <c r="N90" s="861" t="s">
        <v>1149</v>
      </c>
      <c r="O90" s="860"/>
      <c r="P90" s="1338" t="s">
        <v>2072</v>
      </c>
      <c r="Q90" s="1338"/>
      <c r="R90" s="1338"/>
      <c r="S90" s="1338"/>
      <c r="T90" s="1338"/>
      <c r="U90" s="1338"/>
      <c r="V90" s="1338"/>
      <c r="W90" s="1338"/>
      <c r="X90" s="1338"/>
      <c r="Y90" s="1338"/>
      <c r="Z90" s="1338"/>
      <c r="AA90" s="1338"/>
      <c r="AB90" s="650" t="s">
        <v>1149</v>
      </c>
      <c r="AC90" s="1"/>
      <c r="AM90" s="478" t="s">
        <v>1736</v>
      </c>
    </row>
    <row r="91" spans="1:45" ht="7.05" customHeight="1">
      <c r="A91" s="853"/>
      <c r="B91" s="629"/>
      <c r="C91" s="629"/>
      <c r="D91" s="629"/>
      <c r="E91" s="629"/>
      <c r="F91" s="629"/>
      <c r="G91" s="629"/>
      <c r="H91" s="629"/>
      <c r="I91" s="629"/>
      <c r="J91" s="629"/>
      <c r="K91" s="629"/>
      <c r="L91" s="629"/>
      <c r="M91" s="629"/>
      <c r="N91" s="862"/>
      <c r="O91" s="629"/>
      <c r="P91" s="629"/>
      <c r="Q91" s="629"/>
      <c r="R91" s="629"/>
      <c r="S91" s="629"/>
      <c r="T91" s="629"/>
      <c r="U91" s="629"/>
      <c r="V91" s="629"/>
      <c r="W91" s="629"/>
      <c r="X91" s="629"/>
      <c r="Y91" s="629"/>
      <c r="Z91" s="629"/>
      <c r="AA91" s="629"/>
      <c r="AB91" s="630"/>
      <c r="AC91" s="1"/>
      <c r="AK91" s="476" t="str">
        <f>IF(AQ127=AM128,AM92,CONCATENATE(AM91,AN91,AO91,AP91,AQ91,AR91,AS91))</f>
        <v>According to your responses, you are an independent.</v>
      </c>
      <c r="AM91" s="478" t="s">
        <v>1734</v>
      </c>
      <c r="AN91" s="2" t="str">
        <f>AQ127</f>
        <v>independent</v>
      </c>
      <c r="AO91" s="478" t="s">
        <v>1733</v>
      </c>
      <c r="AP91" s="2" t="str">
        <f>AQ128</f>
        <v>independent</v>
      </c>
      <c r="AQ91" s="478" t="s">
        <v>706</v>
      </c>
      <c r="AS91" s="478"/>
    </row>
    <row r="92" spans="1:45" ht="25.05" customHeight="1">
      <c r="A92" s="853"/>
      <c r="B92" s="632" t="s">
        <v>2539</v>
      </c>
      <c r="C92" s="629"/>
      <c r="D92" s="629"/>
      <c r="E92" s="629"/>
      <c r="F92" s="629"/>
      <c r="G92" s="629"/>
      <c r="H92" s="629"/>
      <c r="I92" s="629"/>
      <c r="J92" s="629"/>
      <c r="K92" s="629"/>
      <c r="L92" s="629"/>
      <c r="M92" s="629"/>
      <c r="N92" s="862"/>
      <c r="O92" s="629"/>
      <c r="P92" s="632"/>
      <c r="Q92" s="629"/>
      <c r="R92" s="629"/>
      <c r="S92" s="629"/>
      <c r="T92" s="629"/>
      <c r="U92" s="629"/>
      <c r="V92" s="629"/>
      <c r="W92" s="629"/>
      <c r="X92" s="629"/>
      <c r="Y92" s="629"/>
      <c r="Z92" s="629"/>
      <c r="AA92" s="629"/>
      <c r="AB92" s="630"/>
      <c r="AC92" s="1"/>
      <c r="AM92" s="478" t="s">
        <v>1736</v>
      </c>
    </row>
    <row r="93" spans="1:45" ht="22.95" customHeight="1">
      <c r="A93" s="853"/>
      <c r="B93" s="633"/>
      <c r="C93" s="633"/>
      <c r="D93" s="633"/>
      <c r="E93" s="633"/>
      <c r="F93" s="633"/>
      <c r="G93" s="633"/>
      <c r="H93" s="633"/>
      <c r="I93" s="633"/>
      <c r="J93" s="633"/>
      <c r="K93" s="633"/>
      <c r="L93" s="633"/>
      <c r="M93" s="633"/>
      <c r="N93" s="862"/>
      <c r="O93" s="629"/>
      <c r="P93" s="629"/>
      <c r="Q93" s="629"/>
      <c r="R93" s="629"/>
      <c r="S93" s="629"/>
      <c r="T93" s="629"/>
      <c r="U93" s="629"/>
      <c r="V93" s="629"/>
      <c r="W93" s="629"/>
      <c r="X93" s="629"/>
      <c r="Y93" s="629"/>
      <c r="Z93" s="629"/>
      <c r="AA93" s="629"/>
      <c r="AB93" s="630"/>
      <c r="AC93" s="1"/>
      <c r="AK93" s="479" t="str">
        <f>IF(AND(AI109&gt;7,AI109&lt;9),AK89,IF(AND(AI109&gt;0,AI109&lt;8),AL87,AL$94))</f>
        <v>NOTE: This tool will not work properly until you select a political outlook for yourself.</v>
      </c>
    </row>
    <row r="94" spans="1:45" ht="22.95" customHeight="1">
      <c r="A94" s="853"/>
      <c r="B94" s="633"/>
      <c r="C94" s="633"/>
      <c r="D94" s="633"/>
      <c r="E94" s="633"/>
      <c r="F94" s="633"/>
      <c r="G94" s="633"/>
      <c r="H94" s="633"/>
      <c r="I94" s="633"/>
      <c r="J94" s="633"/>
      <c r="K94" s="633"/>
      <c r="L94" s="633"/>
      <c r="M94" s="633"/>
      <c r="N94" s="862"/>
      <c r="O94" s="629"/>
      <c r="P94" s="629"/>
      <c r="Q94" s="629"/>
      <c r="R94" s="629"/>
      <c r="S94" s="629"/>
      <c r="T94" s="629"/>
      <c r="U94" s="629"/>
      <c r="V94" s="629"/>
      <c r="W94" s="629"/>
      <c r="X94" s="629"/>
      <c r="Y94" s="629"/>
      <c r="Z94" s="629"/>
      <c r="AA94" s="629"/>
      <c r="AB94" s="630"/>
      <c r="AC94" s="1"/>
      <c r="AL94" s="2" t="s">
        <v>1737</v>
      </c>
    </row>
    <row r="95" spans="1:45" ht="22.95" customHeight="1">
      <c r="A95" s="853"/>
      <c r="B95" s="633"/>
      <c r="C95" s="633"/>
      <c r="D95" s="633"/>
      <c r="E95" s="633"/>
      <c r="F95" s="633"/>
      <c r="G95" s="633"/>
      <c r="H95" s="633"/>
      <c r="I95" s="633"/>
      <c r="J95" s="633"/>
      <c r="K95" s="633"/>
      <c r="L95" s="633"/>
      <c r="M95" s="633"/>
      <c r="N95" s="862"/>
      <c r="O95" s="629"/>
      <c r="P95" s="629"/>
      <c r="Q95" s="629"/>
      <c r="R95" s="629"/>
      <c r="S95" s="629"/>
      <c r="T95" s="629"/>
      <c r="U95" s="629"/>
      <c r="V95" s="629"/>
      <c r="W95" s="629"/>
      <c r="X95" s="629"/>
      <c r="Y95" s="629"/>
      <c r="Z95" s="629"/>
      <c r="AA95" s="629"/>
      <c r="AB95" s="630"/>
      <c r="AC95" s="1"/>
      <c r="AK95" s="476" t="str">
        <f>IF(AND(AI126&gt;7,AI126&lt;9),AK91,IF(AND(AI126&gt;0,AI126&lt;8),AL88,AL$96))</f>
        <v>NOTE: This tool will not work properly until you select a political outlook for your client.</v>
      </c>
    </row>
    <row r="96" spans="1:45" ht="22.95" customHeight="1">
      <c r="A96" s="853"/>
      <c r="B96" s="633"/>
      <c r="C96" s="633"/>
      <c r="D96" s="633"/>
      <c r="E96" s="633"/>
      <c r="F96" s="633"/>
      <c r="G96" s="633"/>
      <c r="H96" s="633"/>
      <c r="I96" s="633"/>
      <c r="J96" s="633"/>
      <c r="K96" s="633"/>
      <c r="L96" s="633"/>
      <c r="M96" s="633"/>
      <c r="N96" s="862"/>
      <c r="O96" s="629"/>
      <c r="P96" s="629"/>
      <c r="Q96" s="629"/>
      <c r="R96" s="629"/>
      <c r="S96" s="629"/>
      <c r="T96" s="629"/>
      <c r="U96" s="629"/>
      <c r="V96" s="629"/>
      <c r="W96" s="629"/>
      <c r="X96" s="629"/>
      <c r="Y96" s="629"/>
      <c r="Z96" s="629"/>
      <c r="AA96" s="629"/>
      <c r="AB96" s="630"/>
      <c r="AC96" s="1"/>
      <c r="AL96" s="2" t="s">
        <v>1738</v>
      </c>
    </row>
    <row r="97" spans="1:43" ht="4.95" customHeight="1">
      <c r="A97" s="853"/>
      <c r="B97" s="633"/>
      <c r="C97" s="633"/>
      <c r="D97" s="633"/>
      <c r="E97" s="633"/>
      <c r="F97" s="633"/>
      <c r="G97" s="633"/>
      <c r="H97" s="633"/>
      <c r="I97" s="633"/>
      <c r="J97" s="633"/>
      <c r="K97" s="633"/>
      <c r="L97" s="633"/>
      <c r="M97" s="633"/>
      <c r="N97" s="862"/>
      <c r="O97" s="629"/>
      <c r="P97" s="629"/>
      <c r="Q97" s="629"/>
      <c r="R97" s="629"/>
      <c r="S97" s="629"/>
      <c r="T97" s="629"/>
      <c r="U97" s="629"/>
      <c r="V97" s="629"/>
      <c r="W97" s="629"/>
      <c r="X97" s="629"/>
      <c r="Y97" s="629"/>
      <c r="Z97" s="629"/>
      <c r="AA97" s="629"/>
      <c r="AB97" s="630"/>
      <c r="AC97" s="1"/>
    </row>
    <row r="98" spans="1:43" ht="19.95" customHeight="1">
      <c r="A98" s="853"/>
      <c r="B98" s="643"/>
      <c r="C98" s="643"/>
      <c r="D98" s="643"/>
      <c r="E98" s="643"/>
      <c r="F98" s="643"/>
      <c r="G98" s="643"/>
      <c r="H98" s="643"/>
      <c r="I98" s="643"/>
      <c r="J98" s="643"/>
      <c r="K98" s="643"/>
      <c r="L98" s="643"/>
      <c r="M98" s="643"/>
      <c r="N98" s="863"/>
      <c r="O98" s="629"/>
      <c r="P98" s="629"/>
      <c r="Q98" s="629"/>
      <c r="R98" s="629"/>
      <c r="S98" s="629"/>
      <c r="T98" s="629"/>
      <c r="U98" s="629"/>
      <c r="V98" s="629"/>
      <c r="W98" s="629"/>
      <c r="X98" s="629"/>
      <c r="Y98" s="629"/>
      <c r="Z98" s="629"/>
      <c r="AA98" s="629"/>
      <c r="AB98" s="630"/>
      <c r="AC98" s="1"/>
    </row>
    <row r="99" spans="1:43" ht="4.95" customHeight="1">
      <c r="A99" s="853"/>
      <c r="B99" s="643"/>
      <c r="C99" s="643"/>
      <c r="D99" s="643"/>
      <c r="E99" s="643"/>
      <c r="F99" s="643"/>
      <c r="G99" s="643"/>
      <c r="H99" s="643"/>
      <c r="I99" s="643"/>
      <c r="J99" s="643"/>
      <c r="K99" s="643"/>
      <c r="L99" s="643"/>
      <c r="M99" s="643"/>
      <c r="N99" s="862"/>
      <c r="O99" s="629"/>
      <c r="P99" s="629"/>
      <c r="Q99" s="629"/>
      <c r="R99" s="629"/>
      <c r="S99" s="629"/>
      <c r="T99" s="629"/>
      <c r="U99" s="629"/>
      <c r="V99" s="629"/>
      <c r="W99" s="629"/>
      <c r="X99" s="629"/>
      <c r="Y99" s="629"/>
      <c r="Z99" s="629"/>
      <c r="AA99" s="629"/>
      <c r="AB99" s="630"/>
      <c r="AC99" s="1"/>
    </row>
    <row r="100" spans="1:43" ht="19.95" customHeight="1">
      <c r="A100" s="853"/>
      <c r="B100" s="643"/>
      <c r="C100" s="643"/>
      <c r="D100" s="643"/>
      <c r="E100" s="643"/>
      <c r="F100" s="643"/>
      <c r="G100" s="643"/>
      <c r="H100" s="643"/>
      <c r="I100" s="643"/>
      <c r="J100" s="643"/>
      <c r="K100" s="643"/>
      <c r="L100" s="643"/>
      <c r="M100" s="643"/>
      <c r="N100" s="862"/>
      <c r="O100" s="629"/>
      <c r="P100" s="629"/>
      <c r="Q100" s="629"/>
      <c r="R100" s="629"/>
      <c r="S100" s="629"/>
      <c r="T100" s="629"/>
      <c r="U100" s="629"/>
      <c r="V100" s="629"/>
      <c r="W100" s="629"/>
      <c r="X100" s="629"/>
      <c r="Y100" s="629"/>
      <c r="Z100" s="629"/>
      <c r="AA100" s="629"/>
      <c r="AB100" s="630"/>
      <c r="AC100" s="1"/>
    </row>
    <row r="101" spans="1:43" ht="4.95" customHeight="1">
      <c r="A101" s="853"/>
      <c r="B101" s="643"/>
      <c r="C101" s="643"/>
      <c r="D101" s="643"/>
      <c r="E101" s="643"/>
      <c r="F101" s="643"/>
      <c r="G101" s="643"/>
      <c r="H101" s="643"/>
      <c r="I101" s="643"/>
      <c r="J101" s="643"/>
      <c r="K101" s="643"/>
      <c r="L101" s="643"/>
      <c r="M101" s="643"/>
      <c r="N101" s="862"/>
      <c r="O101" s="629"/>
      <c r="P101" s="629"/>
      <c r="Q101" s="629"/>
      <c r="R101" s="629"/>
      <c r="S101" s="629"/>
      <c r="T101" s="629"/>
      <c r="U101" s="629"/>
      <c r="V101" s="629"/>
      <c r="W101" s="629"/>
      <c r="X101" s="629"/>
      <c r="Y101" s="629"/>
      <c r="Z101" s="629"/>
      <c r="AA101" s="629"/>
      <c r="AB101" s="630"/>
      <c r="AC101" s="1"/>
    </row>
    <row r="102" spans="1:43" ht="19.95" customHeight="1">
      <c r="A102" s="853"/>
      <c r="B102" s="643"/>
      <c r="C102" s="643"/>
      <c r="D102" s="643"/>
      <c r="E102" s="643"/>
      <c r="F102" s="643"/>
      <c r="G102" s="643"/>
      <c r="H102" s="643"/>
      <c r="I102" s="643"/>
      <c r="J102" s="643"/>
      <c r="K102" s="643"/>
      <c r="L102" s="643"/>
      <c r="M102" s="643"/>
      <c r="N102" s="862"/>
      <c r="O102" s="629"/>
      <c r="P102" s="629"/>
      <c r="Q102" s="629"/>
      <c r="R102" s="629"/>
      <c r="S102" s="629"/>
      <c r="T102" s="629"/>
      <c r="U102" s="629"/>
      <c r="V102" s="629"/>
      <c r="W102" s="629"/>
      <c r="X102" s="629"/>
      <c r="Y102" s="629"/>
      <c r="Z102" s="629"/>
      <c r="AA102" s="629"/>
      <c r="AB102" s="630"/>
      <c r="AC102" s="1"/>
    </row>
    <row r="103" spans="1:43" ht="15" customHeight="1">
      <c r="A103" s="853"/>
      <c r="B103" s="643"/>
      <c r="C103" s="643"/>
      <c r="D103" s="643"/>
      <c r="E103" s="643"/>
      <c r="F103" s="643"/>
      <c r="G103" s="643"/>
      <c r="H103" s="643"/>
      <c r="I103" s="643"/>
      <c r="J103" s="643"/>
      <c r="K103" s="643"/>
      <c r="L103" s="643"/>
      <c r="M103" s="643"/>
      <c r="N103" s="862"/>
      <c r="O103" s="629"/>
      <c r="P103" s="629"/>
      <c r="Q103" s="629"/>
      <c r="R103" s="629"/>
      <c r="S103" s="629"/>
      <c r="T103" s="629"/>
      <c r="U103" s="629"/>
      <c r="V103" s="629"/>
      <c r="W103" s="629"/>
      <c r="X103" s="629"/>
      <c r="Y103" s="629"/>
      <c r="Z103" s="629"/>
      <c r="AA103" s="629"/>
      <c r="AB103" s="630"/>
      <c r="AC103" s="1"/>
    </row>
    <row r="104" spans="1:43" ht="19.95" customHeight="1">
      <c r="A104" s="853"/>
      <c r="B104" s="658"/>
      <c r="C104" s="658"/>
      <c r="D104" s="658"/>
      <c r="E104" s="658"/>
      <c r="F104" s="658"/>
      <c r="G104" s="658"/>
      <c r="H104" s="658"/>
      <c r="I104" s="658"/>
      <c r="J104" s="658"/>
      <c r="K104" s="658"/>
      <c r="L104" s="658"/>
      <c r="M104" s="658"/>
      <c r="N104" s="862"/>
      <c r="O104" s="629"/>
      <c r="P104" s="629"/>
      <c r="Q104" s="629"/>
      <c r="R104" s="629"/>
      <c r="S104" s="629"/>
      <c r="T104" s="629"/>
      <c r="U104" s="629"/>
      <c r="V104" s="629"/>
      <c r="W104" s="629"/>
      <c r="X104" s="629"/>
      <c r="Y104" s="629"/>
      <c r="Z104" s="629"/>
      <c r="AA104" s="629"/>
      <c r="AB104" s="630"/>
      <c r="AC104" s="1"/>
    </row>
    <row r="105" spans="1:43" ht="19.95" customHeight="1">
      <c r="A105" s="853"/>
      <c r="B105" s="658"/>
      <c r="C105" s="658"/>
      <c r="D105" s="658"/>
      <c r="E105" s="658"/>
      <c r="F105" s="658"/>
      <c r="G105" s="658"/>
      <c r="H105" s="658"/>
      <c r="I105" s="658"/>
      <c r="J105" s="658"/>
      <c r="K105" s="658"/>
      <c r="L105" s="658"/>
      <c r="M105" s="658"/>
      <c r="N105" s="862"/>
      <c r="O105" s="629"/>
      <c r="P105" s="629"/>
      <c r="Q105" s="629"/>
      <c r="R105" s="629"/>
      <c r="S105" s="629"/>
      <c r="T105" s="629"/>
      <c r="U105" s="629"/>
      <c r="V105" s="629"/>
      <c r="W105" s="629"/>
      <c r="X105" s="629"/>
      <c r="Y105" s="629"/>
      <c r="Z105" s="629"/>
      <c r="AA105" s="629"/>
      <c r="AB105" s="630"/>
      <c r="AC105" s="1"/>
    </row>
    <row r="106" spans="1:43" ht="19.95" customHeight="1">
      <c r="A106" s="853"/>
      <c r="B106" s="658"/>
      <c r="C106" s="658"/>
      <c r="D106" s="658"/>
      <c r="E106" s="658"/>
      <c r="F106" s="658"/>
      <c r="G106" s="658"/>
      <c r="H106" s="658"/>
      <c r="I106" s="658"/>
      <c r="J106" s="658"/>
      <c r="K106" s="658"/>
      <c r="L106" s="658"/>
      <c r="M106" s="658"/>
      <c r="N106" s="862"/>
      <c r="O106" s="629"/>
      <c r="P106" s="629"/>
      <c r="Q106" s="629"/>
      <c r="R106" s="629"/>
      <c r="S106" s="629"/>
      <c r="T106" s="629"/>
      <c r="U106" s="629"/>
      <c r="V106" s="629"/>
      <c r="W106" s="629"/>
      <c r="X106" s="629"/>
      <c r="Y106" s="629"/>
      <c r="Z106" s="629"/>
      <c r="AA106" s="629"/>
      <c r="AB106" s="630"/>
      <c r="AC106" s="1"/>
    </row>
    <row r="107" spans="1:43" ht="19.95" customHeight="1">
      <c r="A107" s="853"/>
      <c r="B107" s="658"/>
      <c r="C107" s="658"/>
      <c r="D107" s="658"/>
      <c r="E107" s="658"/>
      <c r="F107" s="658"/>
      <c r="G107" s="658"/>
      <c r="H107" s="658"/>
      <c r="I107" s="658"/>
      <c r="J107" s="658"/>
      <c r="K107" s="658"/>
      <c r="L107" s="658"/>
      <c r="M107" s="658"/>
      <c r="N107" s="862"/>
      <c r="O107" s="629"/>
      <c r="P107" s="629"/>
      <c r="Q107" s="629"/>
      <c r="R107" s="629"/>
      <c r="S107" s="629"/>
      <c r="T107" s="629"/>
      <c r="U107" s="629"/>
      <c r="V107" s="629"/>
      <c r="W107" s="629"/>
      <c r="X107" s="629"/>
      <c r="Y107" s="629"/>
      <c r="Z107" s="629"/>
      <c r="AA107" s="629"/>
      <c r="AB107" s="630"/>
      <c r="AC107" s="1"/>
    </row>
    <row r="108" spans="1:43" ht="19.95" customHeight="1">
      <c r="A108" s="853"/>
      <c r="B108" s="658"/>
      <c r="C108" s="658"/>
      <c r="D108" s="658"/>
      <c r="E108" s="658"/>
      <c r="F108" s="658"/>
      <c r="G108" s="658"/>
      <c r="H108" s="658"/>
      <c r="I108" s="658"/>
      <c r="J108" s="658"/>
      <c r="K108" s="658"/>
      <c r="L108" s="658"/>
      <c r="M108" s="658"/>
      <c r="N108" s="862"/>
      <c r="O108" s="629"/>
      <c r="P108" s="629"/>
      <c r="Q108" s="629"/>
      <c r="R108" s="629"/>
      <c r="S108" s="629"/>
      <c r="T108" s="629"/>
      <c r="U108" s="629"/>
      <c r="V108" s="629"/>
      <c r="W108" s="629"/>
      <c r="X108" s="629"/>
      <c r="Y108" s="629"/>
      <c r="Z108" s="629"/>
      <c r="AA108" s="629"/>
      <c r="AB108" s="630"/>
      <c r="AC108" s="1"/>
    </row>
    <row r="109" spans="1:43" ht="19.95" customHeight="1">
      <c r="A109" s="853"/>
      <c r="B109" s="658"/>
      <c r="C109" s="658"/>
      <c r="D109" s="658"/>
      <c r="E109" s="658"/>
      <c r="F109" s="658"/>
      <c r="G109" s="658"/>
      <c r="H109" s="658"/>
      <c r="I109" s="658"/>
      <c r="J109" s="658"/>
      <c r="K109" s="658"/>
      <c r="L109" s="658"/>
      <c r="M109" s="658"/>
      <c r="N109" s="862"/>
      <c r="O109" s="629"/>
      <c r="P109" s="629"/>
      <c r="Q109" s="629"/>
      <c r="R109" s="629"/>
      <c r="S109" s="629"/>
      <c r="T109" s="629"/>
      <c r="U109" s="629"/>
      <c r="V109" s="629"/>
      <c r="W109" s="629"/>
      <c r="X109" s="629"/>
      <c r="Y109" s="629"/>
      <c r="Z109" s="629"/>
      <c r="AA109" s="629"/>
      <c r="AB109" s="630"/>
      <c r="AC109" s="1"/>
      <c r="AI109" s="139">
        <f>SUM(AI110:AI117)</f>
        <v>0</v>
      </c>
    </row>
    <row r="110" spans="1:43" ht="19.05" customHeight="1">
      <c r="A110" s="853"/>
      <c r="B110" s="658"/>
      <c r="C110" s="643"/>
      <c r="D110" s="643"/>
      <c r="E110" s="643"/>
      <c r="F110" s="643"/>
      <c r="G110" s="643"/>
      <c r="H110" s="646"/>
      <c r="I110" s="643"/>
      <c r="J110" s="643"/>
      <c r="K110" s="643"/>
      <c r="L110" s="643"/>
      <c r="M110" s="643"/>
      <c r="N110" s="862"/>
      <c r="O110" s="629"/>
      <c r="P110" s="629"/>
      <c r="Q110" s="629"/>
      <c r="R110" s="629"/>
      <c r="S110" s="629"/>
      <c r="T110" s="629"/>
      <c r="U110" s="629"/>
      <c r="V110" s="629"/>
      <c r="W110" s="629"/>
      <c r="X110" s="629"/>
      <c r="Y110" s="629"/>
      <c r="Z110" s="629"/>
      <c r="AA110" s="629"/>
      <c r="AB110" s="630"/>
      <c r="AC110" s="1"/>
      <c r="AI110" s="144">
        <f t="shared" ref="AI110:AI117" si="0">IF(C118="",0,1)</f>
        <v>0</v>
      </c>
      <c r="AJ110" s="2">
        <v>1</v>
      </c>
      <c r="AK110" s="472" t="s">
        <v>1745</v>
      </c>
      <c r="AO110" s="417">
        <f>IF($C118=$AK110,-1,IF($C118=$AK111,1,0))</f>
        <v>0</v>
      </c>
      <c r="AQ110" s="417">
        <f>IF($I118=$AK110,-1,IF($I118=$AK111,1,0))</f>
        <v>0</v>
      </c>
    </row>
    <row r="111" spans="1:43" ht="4.95" customHeight="1">
      <c r="A111" s="853"/>
      <c r="B111" s="658"/>
      <c r="C111" s="643"/>
      <c r="D111" s="643"/>
      <c r="E111" s="643"/>
      <c r="F111" s="643"/>
      <c r="G111" s="643"/>
      <c r="H111" s="646"/>
      <c r="I111" s="643"/>
      <c r="J111" s="643"/>
      <c r="K111" s="643"/>
      <c r="L111" s="643"/>
      <c r="M111" s="643"/>
      <c r="N111" s="862"/>
      <c r="O111" s="629"/>
      <c r="P111" s="629"/>
      <c r="Q111" s="629"/>
      <c r="R111" s="629"/>
      <c r="S111" s="629"/>
      <c r="T111" s="629"/>
      <c r="U111" s="629"/>
      <c r="V111" s="629"/>
      <c r="W111" s="629"/>
      <c r="X111" s="629"/>
      <c r="Y111" s="629"/>
      <c r="Z111" s="629"/>
      <c r="AA111" s="629"/>
      <c r="AB111" s="630"/>
      <c r="AC111" s="1"/>
      <c r="AI111" s="144">
        <f t="shared" si="0"/>
        <v>0</v>
      </c>
      <c r="AK111" s="473" t="s">
        <v>1724</v>
      </c>
      <c r="AO111" s="417"/>
    </row>
    <row r="112" spans="1:43" ht="19.05" customHeight="1" thickBot="1">
      <c r="A112" s="853"/>
      <c r="B112" s="658"/>
      <c r="C112" s="643"/>
      <c r="D112" s="643"/>
      <c r="E112" s="643"/>
      <c r="F112" s="643"/>
      <c r="G112" s="643"/>
      <c r="H112" s="646"/>
      <c r="I112" s="643"/>
      <c r="J112" s="643"/>
      <c r="K112" s="643"/>
      <c r="L112" s="643"/>
      <c r="M112" s="643"/>
      <c r="N112" s="862"/>
      <c r="O112" s="629"/>
      <c r="P112" s="629"/>
      <c r="Q112" s="629"/>
      <c r="R112" s="629"/>
      <c r="S112" s="629"/>
      <c r="T112" s="629"/>
      <c r="U112" s="629"/>
      <c r="V112" s="629"/>
      <c r="W112" s="629"/>
      <c r="X112" s="629"/>
      <c r="Y112" s="629"/>
      <c r="Z112" s="629"/>
      <c r="AA112" s="629"/>
      <c r="AB112" s="630"/>
      <c r="AC112" s="1"/>
      <c r="AI112" s="144">
        <f t="shared" si="0"/>
        <v>0</v>
      </c>
      <c r="AJ112" s="2">
        <v>2</v>
      </c>
      <c r="AK112" s="472" t="s">
        <v>1717</v>
      </c>
      <c r="AO112" s="417">
        <f>IF($C119=$AK112,-1,IF($C119=$AK113,1,0))</f>
        <v>0</v>
      </c>
      <c r="AQ112" s="417">
        <f>IF($I119=$AK112,-1,IF($I119=$AK113,1,0))</f>
        <v>0</v>
      </c>
    </row>
    <row r="113" spans="1:43" ht="19.95" customHeight="1" thickBot="1">
      <c r="A113" s="853"/>
      <c r="B113" s="687" t="s">
        <v>2425</v>
      </c>
      <c r="C113" s="644"/>
      <c r="D113" s="644"/>
      <c r="E113" s="644"/>
      <c r="F113" s="644"/>
      <c r="G113" s="644"/>
      <c r="H113" s="1324" t="s">
        <v>1342</v>
      </c>
      <c r="I113" s="1325"/>
      <c r="J113" s="1325"/>
      <c r="K113" s="1325"/>
      <c r="L113" s="1325"/>
      <c r="M113" s="1326"/>
      <c r="N113" s="862"/>
      <c r="O113" s="629"/>
      <c r="P113" s="629"/>
      <c r="Q113" s="629"/>
      <c r="R113" s="629"/>
      <c r="S113" s="629"/>
      <c r="T113" s="629"/>
      <c r="U113" s="629"/>
      <c r="V113" s="629"/>
      <c r="W113" s="629"/>
      <c r="X113" s="629"/>
      <c r="Y113" s="629"/>
      <c r="Z113" s="629"/>
      <c r="AA113" s="629"/>
      <c r="AB113" s="630"/>
      <c r="AC113" s="1"/>
      <c r="AI113" s="144">
        <f t="shared" si="0"/>
        <v>0</v>
      </c>
      <c r="AK113" s="473" t="s">
        <v>1725</v>
      </c>
    </row>
    <row r="114" spans="1:43" ht="3" customHeight="1" thickBot="1">
      <c r="A114" s="853"/>
      <c r="B114" s="688"/>
      <c r="C114" s="644"/>
      <c r="D114" s="644"/>
      <c r="E114" s="644"/>
      <c r="F114" s="644"/>
      <c r="G114" s="644"/>
      <c r="H114" s="629"/>
      <c r="I114" s="629"/>
      <c r="J114" s="629"/>
      <c r="K114" s="629"/>
      <c r="L114" s="629"/>
      <c r="M114" s="629"/>
      <c r="N114" s="862"/>
      <c r="O114" s="629"/>
      <c r="P114" s="629"/>
      <c r="Q114" s="629"/>
      <c r="R114" s="629"/>
      <c r="S114" s="629"/>
      <c r="T114" s="629"/>
      <c r="U114" s="629"/>
      <c r="V114" s="629"/>
      <c r="W114" s="629"/>
      <c r="X114" s="629"/>
      <c r="Y114" s="629"/>
      <c r="Z114" s="629"/>
      <c r="AA114" s="629"/>
      <c r="AB114" s="630"/>
      <c r="AC114" s="1"/>
      <c r="AI114" s="144">
        <f t="shared" si="0"/>
        <v>0</v>
      </c>
      <c r="AJ114" s="2">
        <v>3</v>
      </c>
      <c r="AK114" s="472" t="s">
        <v>1726</v>
      </c>
      <c r="AO114" s="417">
        <f>IF($C120=$AK114,-1,IF($C120=$AK115,1,0))</f>
        <v>0</v>
      </c>
      <c r="AQ114" s="417">
        <f>IF($I120=$AK114,-1,IF($I120=$AK115,1,0))</f>
        <v>0</v>
      </c>
    </row>
    <row r="115" spans="1:43" ht="19.05" customHeight="1" thickBot="1">
      <c r="A115" s="853"/>
      <c r="B115" s="687" t="s">
        <v>2426</v>
      </c>
      <c r="C115" s="644"/>
      <c r="D115" s="644"/>
      <c r="E115" s="644"/>
      <c r="F115" s="644"/>
      <c r="G115" s="644"/>
      <c r="H115" s="1324"/>
      <c r="I115" s="1325"/>
      <c r="J115" s="1325"/>
      <c r="K115" s="1325"/>
      <c r="L115" s="1325"/>
      <c r="M115" s="1326"/>
      <c r="N115" s="862"/>
      <c r="O115" s="629"/>
      <c r="P115" s="629"/>
      <c r="Q115" s="629"/>
      <c r="R115" s="629"/>
      <c r="S115" s="629"/>
      <c r="T115" s="629"/>
      <c r="U115" s="629"/>
      <c r="V115" s="629"/>
      <c r="W115" s="629"/>
      <c r="X115" s="629"/>
      <c r="Y115" s="629"/>
      <c r="Z115" s="629"/>
      <c r="AA115" s="629"/>
      <c r="AB115" s="630"/>
      <c r="AC115" s="1"/>
      <c r="AI115" s="144">
        <f t="shared" si="0"/>
        <v>0</v>
      </c>
      <c r="AK115" s="473" t="s">
        <v>1727</v>
      </c>
    </row>
    <row r="116" spans="1:43" ht="25.05" customHeight="1">
      <c r="A116" s="853"/>
      <c r="B116" s="657" t="s">
        <v>2439</v>
      </c>
      <c r="C116" s="629"/>
      <c r="D116" s="629"/>
      <c r="E116" s="629"/>
      <c r="F116" s="629"/>
      <c r="G116" s="629"/>
      <c r="H116" s="645" t="s">
        <v>2449</v>
      </c>
      <c r="I116" s="629"/>
      <c r="J116" s="629"/>
      <c r="K116" s="629"/>
      <c r="L116" s="629"/>
      <c r="M116" s="629"/>
      <c r="N116" s="862"/>
      <c r="O116" s="629"/>
      <c r="P116" s="629"/>
      <c r="Q116" s="629"/>
      <c r="R116" s="629"/>
      <c r="S116" s="629"/>
      <c r="T116" s="629"/>
      <c r="U116" s="629"/>
      <c r="V116" s="629"/>
      <c r="W116" s="629"/>
      <c r="X116" s="629"/>
      <c r="Y116" s="629"/>
      <c r="Z116" s="629"/>
      <c r="AA116" s="629"/>
      <c r="AB116" s="630"/>
      <c r="AC116" s="1"/>
      <c r="AI116" s="144">
        <f t="shared" si="0"/>
        <v>0</v>
      </c>
      <c r="AJ116" s="2">
        <v>4</v>
      </c>
      <c r="AK116" s="472" t="s">
        <v>1718</v>
      </c>
      <c r="AO116" s="417">
        <f>IF($C121=$AK116,-1,IF($C121=$AK117,1,0))</f>
        <v>0</v>
      </c>
      <c r="AQ116" s="417">
        <f>IF($I121=$AK116,-1,IF($I121=$AK117,1,0))</f>
        <v>0</v>
      </c>
    </row>
    <row r="117" spans="1:43" ht="19.05" customHeight="1" thickBot="1">
      <c r="A117" s="853"/>
      <c r="B117" s="658" t="s">
        <v>2440</v>
      </c>
      <c r="C117" s="643"/>
      <c r="D117" s="643"/>
      <c r="E117" s="643"/>
      <c r="F117" s="643"/>
      <c r="G117" s="643"/>
      <c r="H117" s="646" t="s">
        <v>2450</v>
      </c>
      <c r="I117" s="643"/>
      <c r="J117" s="643"/>
      <c r="K117" s="643"/>
      <c r="L117" s="643"/>
      <c r="M117" s="643"/>
      <c r="N117" s="862"/>
      <c r="O117" s="629"/>
      <c r="P117" s="629"/>
      <c r="Q117" s="629"/>
      <c r="R117" s="629"/>
      <c r="S117" s="629"/>
      <c r="T117" s="629"/>
      <c r="U117" s="629"/>
      <c r="V117" s="629"/>
      <c r="W117" s="629"/>
      <c r="X117" s="629"/>
      <c r="Y117" s="629"/>
      <c r="Z117" s="629"/>
      <c r="AA117" s="629"/>
      <c r="AB117" s="630"/>
      <c r="AC117" s="1"/>
      <c r="AI117" s="144">
        <f t="shared" si="0"/>
        <v>0</v>
      </c>
      <c r="AK117" s="473" t="s">
        <v>1719</v>
      </c>
    </row>
    <row r="118" spans="1:43" ht="19.05" customHeight="1" thickBot="1">
      <c r="A118" s="853"/>
      <c r="B118" s="646" t="s">
        <v>2441</v>
      </c>
      <c r="C118" s="643"/>
      <c r="D118" s="643"/>
      <c r="E118" s="643"/>
      <c r="F118" s="643"/>
      <c r="G118" s="643"/>
      <c r="H118" s="629"/>
      <c r="I118" s="1280"/>
      <c r="J118" s="1281"/>
      <c r="K118" s="1281"/>
      <c r="L118" s="1281"/>
      <c r="M118" s="1282"/>
      <c r="N118" s="862"/>
      <c r="O118" s="629"/>
      <c r="P118" s="629"/>
      <c r="Q118" s="629"/>
      <c r="R118" s="629"/>
      <c r="S118" s="629"/>
      <c r="T118" s="629"/>
      <c r="U118" s="629"/>
      <c r="V118" s="629"/>
      <c r="W118" s="629"/>
      <c r="X118" s="629"/>
      <c r="Y118" s="629"/>
      <c r="Z118" s="629"/>
      <c r="AA118" s="629"/>
      <c r="AB118" s="630"/>
      <c r="AC118" s="1"/>
      <c r="AI118" s="2">
        <f t="shared" ref="AI118:AI125" si="1">IF(I118="",0,1)</f>
        <v>0</v>
      </c>
      <c r="AJ118" s="2">
        <v>5</v>
      </c>
      <c r="AK118" s="472" t="s">
        <v>1720</v>
      </c>
      <c r="AO118" s="417">
        <f>IF($C122=$AK118,-1,IF($C122=$AK119,1,0))</f>
        <v>0</v>
      </c>
      <c r="AQ118" s="417">
        <f>IF($I122=$AK118,-1,IF($I122=$AK119,1,0))</f>
        <v>0</v>
      </c>
    </row>
    <row r="119" spans="1:43" ht="19.05" customHeight="1" thickTop="1" thickBot="1">
      <c r="A119" s="853"/>
      <c r="B119" s="646" t="s">
        <v>2442</v>
      </c>
      <c r="C119" s="643"/>
      <c r="D119" s="643"/>
      <c r="E119" s="643"/>
      <c r="F119" s="643"/>
      <c r="G119" s="643"/>
      <c r="H119" s="629"/>
      <c r="I119" s="1280"/>
      <c r="J119" s="1281"/>
      <c r="K119" s="1281"/>
      <c r="L119" s="1281"/>
      <c r="M119" s="1282"/>
      <c r="N119" s="862"/>
      <c r="O119" s="629"/>
      <c r="P119" s="629"/>
      <c r="Q119" s="629"/>
      <c r="R119" s="629"/>
      <c r="S119" s="629"/>
      <c r="T119" s="629"/>
      <c r="U119" s="629"/>
      <c r="V119" s="629"/>
      <c r="W119" s="629"/>
      <c r="X119" s="629"/>
      <c r="Y119" s="629"/>
      <c r="Z119" s="629"/>
      <c r="AA119" s="629"/>
      <c r="AB119" s="630"/>
      <c r="AC119" s="1"/>
      <c r="AI119" s="2">
        <f t="shared" si="1"/>
        <v>0</v>
      </c>
      <c r="AK119" s="473" t="s">
        <v>1721</v>
      </c>
    </row>
    <row r="120" spans="1:43" ht="19.05" customHeight="1" thickTop="1" thickBot="1">
      <c r="A120" s="853"/>
      <c r="B120" s="646" t="s">
        <v>2443</v>
      </c>
      <c r="C120" s="643"/>
      <c r="D120" s="643"/>
      <c r="E120" s="643"/>
      <c r="F120" s="643"/>
      <c r="G120" s="643"/>
      <c r="H120" s="629"/>
      <c r="I120" s="1280"/>
      <c r="J120" s="1281"/>
      <c r="K120" s="1281"/>
      <c r="L120" s="1281"/>
      <c r="M120" s="1282"/>
      <c r="N120" s="864"/>
      <c r="O120" s="629"/>
      <c r="P120" s="629"/>
      <c r="Q120" s="629"/>
      <c r="R120" s="629"/>
      <c r="S120" s="629"/>
      <c r="T120" s="629"/>
      <c r="U120" s="629"/>
      <c r="V120" s="629"/>
      <c r="W120" s="629"/>
      <c r="X120" s="629"/>
      <c r="Y120" s="629"/>
      <c r="Z120" s="629"/>
      <c r="AA120" s="629"/>
      <c r="AB120" s="630"/>
      <c r="AC120" s="1"/>
      <c r="AI120" s="2">
        <f t="shared" si="1"/>
        <v>0</v>
      </c>
      <c r="AJ120" s="2">
        <v>6</v>
      </c>
      <c r="AK120" s="472" t="s">
        <v>1722</v>
      </c>
      <c r="AO120" s="417">
        <f>IF($C123=$AK120,-1,IF($C123=$AK121,1,0))</f>
        <v>0</v>
      </c>
      <c r="AQ120" s="417">
        <f>IF($I123=$AK120,-1,IF($I123=$AK121,1,0))</f>
        <v>0</v>
      </c>
    </row>
    <row r="121" spans="1:43" ht="19.05" customHeight="1" thickTop="1" thickBot="1">
      <c r="A121" s="853"/>
      <c r="B121" s="646" t="s">
        <v>2444</v>
      </c>
      <c r="C121" s="643"/>
      <c r="D121" s="643"/>
      <c r="E121" s="643"/>
      <c r="F121" s="643"/>
      <c r="G121" s="643"/>
      <c r="H121" s="629"/>
      <c r="I121" s="1280"/>
      <c r="J121" s="1281"/>
      <c r="K121" s="1281"/>
      <c r="L121" s="1281"/>
      <c r="M121" s="1282"/>
      <c r="N121" s="862"/>
      <c r="O121" s="629"/>
      <c r="P121" s="629"/>
      <c r="Q121" s="629"/>
      <c r="R121" s="629"/>
      <c r="S121" s="629"/>
      <c r="T121" s="629"/>
      <c r="U121" s="629"/>
      <c r="V121" s="629"/>
      <c r="W121" s="629"/>
      <c r="X121" s="629"/>
      <c r="Y121" s="629"/>
      <c r="Z121" s="629"/>
      <c r="AA121" s="629"/>
      <c r="AB121" s="630"/>
      <c r="AC121" s="1"/>
      <c r="AI121" s="2">
        <f t="shared" si="1"/>
        <v>0</v>
      </c>
      <c r="AK121" s="473" t="s">
        <v>1723</v>
      </c>
    </row>
    <row r="122" spans="1:43" ht="19.05" customHeight="1" thickTop="1" thickBot="1">
      <c r="A122" s="853"/>
      <c r="B122" s="646" t="s">
        <v>2445</v>
      </c>
      <c r="C122" s="643"/>
      <c r="D122" s="643"/>
      <c r="E122" s="643"/>
      <c r="F122" s="643"/>
      <c r="G122" s="643"/>
      <c r="H122" s="629"/>
      <c r="I122" s="1280"/>
      <c r="J122" s="1281"/>
      <c r="K122" s="1281"/>
      <c r="L122" s="1281"/>
      <c r="M122" s="1282"/>
      <c r="N122" s="862"/>
      <c r="O122" s="629"/>
      <c r="P122" s="629"/>
      <c r="Q122" s="629"/>
      <c r="R122" s="629"/>
      <c r="S122" s="629"/>
      <c r="T122" s="629"/>
      <c r="U122" s="629"/>
      <c r="V122" s="629"/>
      <c r="W122" s="629"/>
      <c r="X122" s="629"/>
      <c r="Y122" s="629"/>
      <c r="Z122" s="629"/>
      <c r="AA122" s="629"/>
      <c r="AB122" s="630"/>
      <c r="AC122" s="1"/>
      <c r="AI122" s="2">
        <f t="shared" si="1"/>
        <v>0</v>
      </c>
      <c r="AJ122" s="2">
        <v>7</v>
      </c>
      <c r="AK122" s="472" t="s">
        <v>1716</v>
      </c>
      <c r="AO122" s="417">
        <f>IF($C124=$AK122,-1,IF($C124=$AK123,1,0))</f>
        <v>0</v>
      </c>
      <c r="AQ122" s="417">
        <f>IF($I124=$AK122,-1,IF($I124=$AK123,1,0))</f>
        <v>0</v>
      </c>
    </row>
    <row r="123" spans="1:43" ht="19.05" customHeight="1" thickTop="1" thickBot="1">
      <c r="A123" s="853"/>
      <c r="B123" s="646" t="s">
        <v>2446</v>
      </c>
      <c r="C123" s="643"/>
      <c r="D123" s="643"/>
      <c r="E123" s="643"/>
      <c r="F123" s="643"/>
      <c r="G123" s="643"/>
      <c r="H123" s="629"/>
      <c r="I123" s="1280"/>
      <c r="J123" s="1281"/>
      <c r="K123" s="1281"/>
      <c r="L123" s="1281"/>
      <c r="M123" s="1282"/>
      <c r="N123" s="862"/>
      <c r="O123" s="629"/>
      <c r="P123" s="629"/>
      <c r="Q123" s="629"/>
      <c r="R123" s="629"/>
      <c r="S123" s="629"/>
      <c r="T123" s="629"/>
      <c r="U123" s="629"/>
      <c r="V123" s="629"/>
      <c r="W123" s="629"/>
      <c r="X123" s="629"/>
      <c r="Y123" s="629"/>
      <c r="Z123" s="629"/>
      <c r="AA123" s="629"/>
      <c r="AB123" s="630"/>
      <c r="AC123" s="1"/>
      <c r="AI123" s="2">
        <f t="shared" si="1"/>
        <v>0</v>
      </c>
      <c r="AK123" s="473" t="s">
        <v>1715</v>
      </c>
    </row>
    <row r="124" spans="1:43" ht="19.05" customHeight="1" thickTop="1" thickBot="1">
      <c r="A124" s="853"/>
      <c r="B124" s="646" t="s">
        <v>2447</v>
      </c>
      <c r="C124" s="643"/>
      <c r="D124" s="643"/>
      <c r="E124" s="643"/>
      <c r="F124" s="643"/>
      <c r="G124" s="643"/>
      <c r="H124" s="629"/>
      <c r="I124" s="1280"/>
      <c r="J124" s="1281"/>
      <c r="K124" s="1281"/>
      <c r="L124" s="1281"/>
      <c r="M124" s="1282"/>
      <c r="N124" s="862"/>
      <c r="O124" s="629"/>
      <c r="P124" s="629"/>
      <c r="Q124" s="629"/>
      <c r="R124" s="629"/>
      <c r="S124" s="629"/>
      <c r="T124" s="629"/>
      <c r="U124" s="629"/>
      <c r="V124" s="629"/>
      <c r="W124" s="629"/>
      <c r="X124" s="629"/>
      <c r="Y124" s="629"/>
      <c r="Z124" s="629"/>
      <c r="AA124" s="629"/>
      <c r="AB124" s="630"/>
      <c r="AC124" s="1"/>
      <c r="AI124" s="2">
        <f t="shared" si="1"/>
        <v>0</v>
      </c>
      <c r="AJ124" s="2">
        <v>8</v>
      </c>
      <c r="AK124" s="472" t="s">
        <v>1728</v>
      </c>
      <c r="AO124" s="417">
        <f>IF($C125=$AK124,-1,IF($C125=$AK125,1,0))</f>
        <v>0</v>
      </c>
      <c r="AQ124" s="417">
        <f>IF($I125=$AK124,-1,IF($I125=$AK125,1,0))</f>
        <v>0</v>
      </c>
    </row>
    <row r="125" spans="1:43" ht="19.05" customHeight="1" thickTop="1" thickBot="1">
      <c r="A125" s="853"/>
      <c r="B125" s="646" t="s">
        <v>2448</v>
      </c>
      <c r="C125" s="643"/>
      <c r="D125" s="643"/>
      <c r="E125" s="643"/>
      <c r="F125" s="643"/>
      <c r="G125" s="643"/>
      <c r="H125" s="629"/>
      <c r="I125" s="1280"/>
      <c r="J125" s="1281"/>
      <c r="K125" s="1281"/>
      <c r="L125" s="1281"/>
      <c r="M125" s="1282"/>
      <c r="N125" s="862"/>
      <c r="O125" s="629"/>
      <c r="P125" s="629"/>
      <c r="Q125" s="629"/>
      <c r="R125" s="629"/>
      <c r="S125" s="629"/>
      <c r="T125" s="629"/>
      <c r="U125" s="629"/>
      <c r="V125" s="629"/>
      <c r="W125" s="629"/>
      <c r="X125" s="629"/>
      <c r="Y125" s="629"/>
      <c r="Z125" s="629"/>
      <c r="AA125" s="629"/>
      <c r="AB125" s="630"/>
      <c r="AC125" s="1"/>
      <c r="AI125" s="2">
        <f t="shared" si="1"/>
        <v>0</v>
      </c>
      <c r="AK125" s="473" t="s">
        <v>1729</v>
      </c>
    </row>
    <row r="126" spans="1:43" ht="4.95" customHeight="1" thickTop="1">
      <c r="A126" s="853"/>
      <c r="B126" s="1405"/>
      <c r="C126" s="1405"/>
      <c r="D126" s="1405"/>
      <c r="E126" s="1405"/>
      <c r="F126" s="1405"/>
      <c r="G126" s="1405"/>
      <c r="H126" s="1405"/>
      <c r="I126" s="1405"/>
      <c r="J126" s="1405"/>
      <c r="K126" s="1405"/>
      <c r="L126" s="1405"/>
      <c r="M126" s="1405"/>
      <c r="N126" s="862"/>
      <c r="O126" s="629"/>
      <c r="P126" s="629"/>
      <c r="Q126" s="629"/>
      <c r="R126" s="629"/>
      <c r="S126" s="629"/>
      <c r="T126" s="629"/>
      <c r="U126" s="629"/>
      <c r="V126" s="629"/>
      <c r="W126" s="629"/>
      <c r="X126" s="629"/>
      <c r="Y126" s="629"/>
      <c r="Z126" s="629"/>
      <c r="AA126" s="629"/>
      <c r="AB126" s="630"/>
      <c r="AC126" s="1"/>
      <c r="AI126" s="139">
        <f>SUM(AI118:AI125)</f>
        <v>0</v>
      </c>
      <c r="AK126" s="474" t="str">
        <f>B1281</f>
        <v>LIBERAL</v>
      </c>
      <c r="AL126" s="474"/>
      <c r="AM126" s="2" t="s">
        <v>49</v>
      </c>
      <c r="AO126" s="37">
        <f>SUM(AO110:AO125)</f>
        <v>0</v>
      </c>
      <c r="AQ126" s="37">
        <f>SUM(AQ110:AQ125)</f>
        <v>0</v>
      </c>
    </row>
    <row r="127" spans="1:43" ht="22.05" customHeight="1">
      <c r="A127" s="853"/>
      <c r="B127" s="1405" t="str">
        <f>IF(H98="",AK95,AK86)</f>
        <v>NOTE: This tool will not work properly until you select a political outlook for your client.</v>
      </c>
      <c r="C127" s="1405"/>
      <c r="D127" s="1405"/>
      <c r="E127" s="1405"/>
      <c r="F127" s="1405"/>
      <c r="G127" s="1405"/>
      <c r="H127" s="1405"/>
      <c r="I127" s="1405"/>
      <c r="J127" s="1405"/>
      <c r="K127" s="1405"/>
      <c r="L127" s="1405"/>
      <c r="M127" s="1405"/>
      <c r="N127" s="862"/>
      <c r="O127" s="629"/>
      <c r="P127" s="629"/>
      <c r="Q127" s="629"/>
      <c r="R127" s="629"/>
      <c r="S127" s="629"/>
      <c r="T127" s="629"/>
      <c r="U127" s="629"/>
      <c r="V127" s="629"/>
      <c r="W127" s="629"/>
      <c r="X127" s="629"/>
      <c r="Y127" s="629"/>
      <c r="Z127" s="629"/>
      <c r="AA127" s="629"/>
      <c r="AB127" s="630"/>
      <c r="AC127" s="1"/>
      <c r="AK127" s="475" t="str">
        <f>B1288</f>
        <v>CONSERVATIVE</v>
      </c>
      <c r="AL127" s="475"/>
      <c r="AM127" s="2" t="s">
        <v>50</v>
      </c>
      <c r="AO127" s="2" t="str">
        <f>IF(AO$126&lt;0,$AM$126,IF(AO$126&gt;0,$AM$127,IF(AO$126=0,$AM$128)))</f>
        <v>independent</v>
      </c>
      <c r="AQ127" s="2" t="str">
        <f>IF(AQ126&lt;0,$AM126,IF(AQ126&gt;0,$AM127,IF(AQ126=0,$AM128)))</f>
        <v>independent</v>
      </c>
    </row>
    <row r="128" spans="1:43" ht="7.05" customHeight="1">
      <c r="A128" s="853"/>
      <c r="B128" s="629"/>
      <c r="C128" s="629"/>
      <c r="D128" s="629"/>
      <c r="E128" s="629"/>
      <c r="F128" s="629"/>
      <c r="G128" s="629"/>
      <c r="H128" s="629"/>
      <c r="I128" s="629"/>
      <c r="J128" s="629"/>
      <c r="K128" s="629"/>
      <c r="L128" s="629"/>
      <c r="M128" s="629"/>
      <c r="N128" s="862"/>
      <c r="O128" s="629"/>
      <c r="P128" s="629"/>
      <c r="Q128" s="629"/>
      <c r="R128" s="629"/>
      <c r="S128" s="629"/>
      <c r="T128" s="629"/>
      <c r="U128" s="629"/>
      <c r="V128" s="629"/>
      <c r="W128" s="629"/>
      <c r="X128" s="629"/>
      <c r="Y128" s="629"/>
      <c r="Z128" s="629"/>
      <c r="AA128" s="629"/>
      <c r="AB128" s="630"/>
      <c r="AC128" s="652"/>
      <c r="AK128" s="477" t="str">
        <f>B1286</f>
        <v>INDEPENDENT</v>
      </c>
      <c r="AL128" s="476"/>
      <c r="AM128" s="2" t="s">
        <v>1735</v>
      </c>
      <c r="AO128" s="2" t="str">
        <f>IF(AO$126&lt;0,$AM$127,IF(AO$126&gt;0,$AM$126,IF(AO$126=0,$AM$128)))</f>
        <v>independent</v>
      </c>
      <c r="AQ128" s="2" t="str">
        <f>IF(AQ$126&lt;0,$AM$127,IF(AQ$126&gt;0,$AM$126,IF(AQ$126=0,$AM$128)))</f>
        <v>independent</v>
      </c>
    </row>
    <row r="129" spans="1:39" ht="30" customHeight="1">
      <c r="A129" s="854" t="s">
        <v>1148</v>
      </c>
      <c r="B129" s="884" t="str">
        <f>AI129</f>
        <v>Our divisive politics</v>
      </c>
      <c r="C129" s="884"/>
      <c r="D129" s="884"/>
      <c r="E129" s="884"/>
      <c r="F129" s="884"/>
      <c r="G129" s="884"/>
      <c r="H129" s="884"/>
      <c r="I129" s="884"/>
      <c r="J129" s="884"/>
      <c r="K129" s="884"/>
      <c r="L129" s="884"/>
      <c r="M129" s="884"/>
      <c r="N129" s="865" t="s">
        <v>1149</v>
      </c>
      <c r="O129" s="860"/>
      <c r="P129" s="647"/>
      <c r="Q129" s="647"/>
      <c r="R129" s="647"/>
      <c r="S129" s="647"/>
      <c r="T129" s="647"/>
      <c r="U129" s="647"/>
      <c r="V129" s="647"/>
      <c r="W129" s="647"/>
      <c r="X129" s="647"/>
      <c r="Y129" s="647"/>
      <c r="Z129" s="647"/>
      <c r="AA129" s="647"/>
      <c r="AB129" s="650" t="s">
        <v>1149</v>
      </c>
      <c r="AI129" s="459" t="str">
        <f>CONCATENATE(AK129,AL129,AM129)</f>
        <v>Our divisive politics</v>
      </c>
      <c r="AK129" s="465" t="s">
        <v>2124</v>
      </c>
      <c r="AL129" s="2" t="str">
        <f>IF(H$115="","",CONCATENATE($D$1300," "))</f>
        <v/>
      </c>
      <c r="AM129" s="465" t="s">
        <v>2076</v>
      </c>
    </row>
    <row r="130" spans="1:39" ht="10.050000000000001" customHeight="1">
      <c r="A130" s="853"/>
      <c r="B130" s="629"/>
      <c r="C130" s="629"/>
      <c r="D130" s="629"/>
      <c r="E130" s="629"/>
      <c r="F130" s="629"/>
      <c r="G130" s="629"/>
      <c r="H130" s="629"/>
      <c r="I130" s="629"/>
      <c r="J130" s="629"/>
      <c r="K130" s="629"/>
      <c r="L130" s="629"/>
      <c r="M130" s="629"/>
      <c r="N130" s="862"/>
      <c r="O130" s="629"/>
      <c r="P130" s="629"/>
      <c r="Q130" s="629"/>
      <c r="R130" s="629"/>
      <c r="S130" s="629"/>
      <c r="T130" s="629"/>
      <c r="U130" s="629"/>
      <c r="V130" s="629"/>
      <c r="W130" s="629"/>
      <c r="X130" s="629"/>
      <c r="Y130" s="629"/>
      <c r="Z130" s="629"/>
      <c r="AA130" s="629"/>
      <c r="AB130" s="630"/>
    </row>
    <row r="131" spans="1:39" ht="19.95" customHeight="1">
      <c r="A131" s="855" t="s">
        <v>2074</v>
      </c>
      <c r="B131" s="632"/>
      <c r="C131" s="631"/>
      <c r="D131" s="631"/>
      <c r="E131" s="631"/>
      <c r="F131" s="631"/>
      <c r="G131" s="631"/>
      <c r="H131" s="631"/>
      <c r="I131" s="631"/>
      <c r="J131" s="631"/>
      <c r="K131" s="631"/>
      <c r="L131" s="631"/>
      <c r="M131" s="631"/>
      <c r="N131" s="862"/>
      <c r="O131" s="629"/>
      <c r="P131" s="629"/>
      <c r="Q131" s="629"/>
      <c r="R131" s="629"/>
      <c r="S131" s="629"/>
      <c r="T131" s="629"/>
      <c r="U131" s="629"/>
      <c r="V131" s="629"/>
      <c r="W131" s="629"/>
      <c r="X131" s="629"/>
      <c r="Y131" s="629"/>
      <c r="Z131" s="629"/>
      <c r="AA131" s="629"/>
      <c r="AB131" s="630"/>
    </row>
    <row r="132" spans="1:39" ht="4.95" customHeight="1">
      <c r="A132" s="853"/>
      <c r="B132" s="632"/>
      <c r="C132" s="631"/>
      <c r="D132" s="631"/>
      <c r="E132" s="631"/>
      <c r="F132" s="631"/>
      <c r="G132" s="631"/>
      <c r="H132" s="631"/>
      <c r="I132" s="631"/>
      <c r="J132" s="631"/>
      <c r="K132" s="631"/>
      <c r="L132" s="631"/>
      <c r="M132" s="631"/>
      <c r="N132" s="862"/>
      <c r="O132" s="629"/>
      <c r="P132" s="629"/>
      <c r="Q132" s="629"/>
      <c r="R132" s="629"/>
      <c r="S132" s="629"/>
      <c r="T132" s="629"/>
      <c r="U132" s="629"/>
      <c r="V132" s="629"/>
      <c r="W132" s="629"/>
      <c r="X132" s="629"/>
      <c r="Y132" s="629"/>
      <c r="Z132" s="629"/>
      <c r="AA132" s="629"/>
      <c r="AB132" s="630"/>
    </row>
    <row r="133" spans="1:39" ht="19.95" customHeight="1">
      <c r="A133" s="855"/>
      <c r="B133" s="1407" t="s">
        <v>2546</v>
      </c>
      <c r="C133" s="1407"/>
      <c r="D133" s="1407"/>
      <c r="E133" s="1407"/>
      <c r="F133" s="1407"/>
      <c r="G133" s="1407"/>
      <c r="H133" s="1407"/>
      <c r="I133" s="1407"/>
      <c r="J133" s="1407"/>
      <c r="K133" s="1407"/>
      <c r="L133" s="1407"/>
      <c r="M133" s="1407"/>
      <c r="N133" s="862"/>
      <c r="O133" s="629"/>
      <c r="P133" s="629"/>
      <c r="Q133" s="629"/>
      <c r="R133" s="629"/>
      <c r="S133" s="629"/>
      <c r="T133" s="629"/>
      <c r="U133" s="629"/>
      <c r="V133" s="629"/>
      <c r="W133" s="629"/>
      <c r="X133" s="629"/>
      <c r="Y133" s="629"/>
      <c r="Z133" s="629"/>
      <c r="AA133" s="629"/>
      <c r="AB133" s="630"/>
    </row>
    <row r="134" spans="1:39" ht="19.95" customHeight="1">
      <c r="A134" s="853"/>
      <c r="B134" s="1407"/>
      <c r="C134" s="1407"/>
      <c r="D134" s="1407"/>
      <c r="E134" s="1407"/>
      <c r="F134" s="1407"/>
      <c r="G134" s="1407"/>
      <c r="H134" s="1407"/>
      <c r="I134" s="1407"/>
      <c r="J134" s="1407"/>
      <c r="K134" s="1407"/>
      <c r="L134" s="1407"/>
      <c r="M134" s="1407"/>
      <c r="N134" s="862"/>
      <c r="O134" s="629"/>
      <c r="P134" s="629"/>
      <c r="Q134" s="629"/>
      <c r="R134" s="629"/>
      <c r="S134" s="629"/>
      <c r="T134" s="629"/>
      <c r="U134" s="629"/>
      <c r="V134" s="629"/>
      <c r="W134" s="629"/>
      <c r="X134" s="629"/>
      <c r="Y134" s="629"/>
      <c r="Z134" s="629"/>
      <c r="AA134" s="629"/>
      <c r="AB134" s="630"/>
    </row>
    <row r="135" spans="1:39" ht="19.95" customHeight="1">
      <c r="A135" s="853"/>
      <c r="B135" s="1407"/>
      <c r="C135" s="1407"/>
      <c r="D135" s="1407"/>
      <c r="E135" s="1407"/>
      <c r="F135" s="1407"/>
      <c r="G135" s="1407"/>
      <c r="H135" s="1407"/>
      <c r="I135" s="1407"/>
      <c r="J135" s="1407"/>
      <c r="K135" s="1407"/>
      <c r="L135" s="1407"/>
      <c r="M135" s="1407"/>
      <c r="N135" s="862"/>
      <c r="O135" s="629"/>
      <c r="P135" s="629"/>
      <c r="Q135" s="629"/>
      <c r="R135" s="629"/>
      <c r="S135" s="629"/>
      <c r="T135" s="629"/>
      <c r="U135" s="629"/>
      <c r="V135" s="629"/>
      <c r="W135" s="629"/>
      <c r="X135" s="629"/>
      <c r="Y135" s="629"/>
      <c r="Z135" s="629"/>
      <c r="AA135" s="629"/>
      <c r="AB135" s="630"/>
    </row>
    <row r="136" spans="1:39" ht="4.95" customHeight="1">
      <c r="A136" s="853"/>
      <c r="B136" s="637"/>
      <c r="C136" s="637"/>
      <c r="D136" s="637"/>
      <c r="E136" s="637"/>
      <c r="F136" s="637"/>
      <c r="G136" s="637"/>
      <c r="H136" s="638"/>
      <c r="I136" s="638"/>
      <c r="J136" s="638"/>
      <c r="K136" s="638"/>
      <c r="L136" s="638"/>
      <c r="M136" s="638"/>
      <c r="N136" s="862"/>
      <c r="O136" s="629"/>
      <c r="P136" s="629"/>
      <c r="Q136" s="629"/>
      <c r="R136" s="629"/>
      <c r="S136" s="629"/>
      <c r="T136" s="629"/>
      <c r="U136" s="629"/>
      <c r="V136" s="629"/>
      <c r="W136" s="629"/>
      <c r="X136" s="629"/>
      <c r="Y136" s="629"/>
      <c r="Z136" s="629"/>
      <c r="AA136" s="629"/>
      <c r="AB136" s="630"/>
    </row>
    <row r="137" spans="1:39" ht="25.05" customHeight="1">
      <c r="A137" s="299"/>
      <c r="B137" s="1377" t="s">
        <v>4</v>
      </c>
      <c r="C137" s="1377"/>
      <c r="D137" s="1377"/>
      <c r="E137" s="1377"/>
      <c r="F137" s="1377"/>
      <c r="G137" s="1377"/>
      <c r="H137" s="1377"/>
      <c r="I137" s="1377"/>
      <c r="J137" s="1377"/>
      <c r="K137" s="1377"/>
      <c r="L137" s="1377"/>
      <c r="M137" s="1377"/>
      <c r="N137" s="489"/>
      <c r="O137" s="629"/>
      <c r="P137" s="629"/>
      <c r="Q137" s="629"/>
      <c r="R137" s="629"/>
      <c r="S137" s="629"/>
      <c r="T137" s="629"/>
      <c r="U137" s="629"/>
      <c r="V137" s="629"/>
      <c r="W137" s="629"/>
      <c r="X137" s="629"/>
      <c r="Y137" s="629"/>
      <c r="Z137" s="629"/>
      <c r="AA137" s="629"/>
      <c r="AB137" s="630"/>
    </row>
    <row r="138" spans="1:39" ht="30" customHeight="1">
      <c r="A138" s="856"/>
      <c r="B138" s="1358" t="str">
        <f>IF($H$115="",$V$1379,$V$1377)</f>
        <v>Argue</v>
      </c>
      <c r="C138" s="1358"/>
      <c r="D138" s="1358"/>
      <c r="E138" s="1358"/>
      <c r="F138" s="1358"/>
      <c r="G138" s="1358"/>
      <c r="H138" s="1359" t="str">
        <f>IF($H$115="",$Y$1379,$Y$1377)</f>
        <v>Argue</v>
      </c>
      <c r="I138" s="1359"/>
      <c r="J138" s="1359"/>
      <c r="K138" s="1359"/>
      <c r="L138" s="1359"/>
      <c r="M138" s="1359"/>
      <c r="N138" s="866"/>
      <c r="O138" s="629"/>
      <c r="P138" s="629"/>
      <c r="Q138" s="629"/>
      <c r="R138" s="629"/>
      <c r="S138" s="629"/>
      <c r="T138" s="629"/>
      <c r="U138" s="629"/>
      <c r="V138" s="629"/>
      <c r="W138" s="629"/>
      <c r="X138" s="629"/>
      <c r="Y138" s="629"/>
      <c r="Z138" s="629"/>
      <c r="AA138" s="629"/>
      <c r="AB138" s="630"/>
    </row>
    <row r="139" spans="1:39" ht="19.95" customHeight="1">
      <c r="A139" s="856"/>
      <c r="B139" s="1360" t="str">
        <f>AI140</f>
        <v>We must ensure everyone's needs are equally met through government oversight.</v>
      </c>
      <c r="C139" s="1360"/>
      <c r="D139" s="1360"/>
      <c r="E139" s="1360"/>
      <c r="F139" s="1360"/>
      <c r="G139" s="1360"/>
      <c r="H139" s="1333" t="str">
        <f>AI142</f>
        <v>We must ensure everyone can freely live up to their full creative potential.</v>
      </c>
      <c r="I139" s="1333"/>
      <c r="J139" s="1333"/>
      <c r="K139" s="1333"/>
      <c r="L139" s="1333"/>
      <c r="M139" s="1333"/>
      <c r="N139" s="866"/>
      <c r="O139" s="629"/>
      <c r="P139" s="629"/>
      <c r="Q139" s="629"/>
      <c r="R139" s="629"/>
      <c r="S139" s="629"/>
      <c r="T139" s="629"/>
      <c r="U139" s="629"/>
      <c r="V139" s="629"/>
      <c r="W139" s="629"/>
      <c r="X139" s="629"/>
      <c r="Y139" s="629"/>
      <c r="Z139" s="629"/>
      <c r="AA139" s="629"/>
      <c r="AB139" s="630"/>
    </row>
    <row r="140" spans="1:39" ht="19.95" customHeight="1">
      <c r="A140" s="856"/>
      <c r="B140" s="1360"/>
      <c r="C140" s="1360"/>
      <c r="D140" s="1360"/>
      <c r="E140" s="1360"/>
      <c r="F140" s="1360"/>
      <c r="G140" s="1360"/>
      <c r="H140" s="1333"/>
      <c r="I140" s="1333"/>
      <c r="J140" s="1333"/>
      <c r="K140" s="1333"/>
      <c r="L140" s="1333"/>
      <c r="M140" s="1333"/>
      <c r="N140" s="866"/>
      <c r="O140" s="629"/>
      <c r="P140" s="629"/>
      <c r="Q140" s="629"/>
      <c r="R140" s="629"/>
      <c r="S140" s="629"/>
      <c r="T140" s="629"/>
      <c r="U140" s="629"/>
      <c r="V140" s="629"/>
      <c r="W140" s="629"/>
      <c r="X140" s="629"/>
      <c r="Y140" s="629"/>
      <c r="Z140" s="629"/>
      <c r="AA140" s="629"/>
      <c r="AB140" s="630"/>
      <c r="AI140" s="896" t="str">
        <f>IF($H$115="",AM140,AK140)</f>
        <v>We must ensure everyone's needs are equally met through government oversight.</v>
      </c>
      <c r="AK140" s="465" t="str">
        <f>$H$1377</f>
        <v/>
      </c>
      <c r="AM140" s="734" t="str">
        <f>AQ212</f>
        <v>We must ensure everyone's needs are equally met through government oversight.</v>
      </c>
    </row>
    <row r="141" spans="1:39" ht="19.95" customHeight="1">
      <c r="A141" s="856"/>
      <c r="B141" s="1360"/>
      <c r="C141" s="1360"/>
      <c r="D141" s="1360"/>
      <c r="E141" s="1360"/>
      <c r="F141" s="1360"/>
      <c r="G141" s="1360"/>
      <c r="H141" s="1333"/>
      <c r="I141" s="1333"/>
      <c r="J141" s="1333"/>
      <c r="K141" s="1333"/>
      <c r="L141" s="1333"/>
      <c r="M141" s="1333"/>
      <c r="N141" s="866"/>
      <c r="O141" s="629"/>
      <c r="P141" s="629"/>
      <c r="Q141" s="629"/>
      <c r="R141" s="629"/>
      <c r="S141" s="629"/>
      <c r="T141" s="629"/>
      <c r="U141" s="629"/>
      <c r="V141" s="629"/>
      <c r="W141" s="629"/>
      <c r="X141" s="629"/>
      <c r="Y141" s="629"/>
      <c r="Z141" s="629"/>
      <c r="AA141" s="629"/>
      <c r="AB141" s="630"/>
    </row>
    <row r="142" spans="1:39" ht="19.95" customHeight="1">
      <c r="A142" s="856"/>
      <c r="B142" s="1360"/>
      <c r="C142" s="1360"/>
      <c r="D142" s="1360"/>
      <c r="E142" s="1360"/>
      <c r="F142" s="1360"/>
      <c r="G142" s="1360"/>
      <c r="H142" s="1333"/>
      <c r="I142" s="1333"/>
      <c r="J142" s="1333"/>
      <c r="K142" s="1333"/>
      <c r="L142" s="1333"/>
      <c r="M142" s="1333"/>
      <c r="N142" s="866"/>
      <c r="O142" s="629"/>
      <c r="P142" s="629"/>
      <c r="Q142" s="629"/>
      <c r="R142" s="629"/>
      <c r="S142" s="629"/>
      <c r="T142" s="629"/>
      <c r="U142" s="629"/>
      <c r="V142" s="629"/>
      <c r="W142" s="629"/>
      <c r="X142" s="629"/>
      <c r="Y142" s="629"/>
      <c r="Z142" s="629"/>
      <c r="AA142" s="629"/>
      <c r="AB142" s="630"/>
      <c r="AI142" s="898" t="str">
        <f>IF($H$115="",AM142,AK142)</f>
        <v>We must ensure everyone can freely live up to their full creative potential.</v>
      </c>
      <c r="AK142" s="465" t="str">
        <f>$K$1377</f>
        <v/>
      </c>
      <c r="AM142" s="734" t="str">
        <f>AQ215</f>
        <v>We must ensure everyone can freely live up to their full creative potential.</v>
      </c>
    </row>
    <row r="143" spans="1:39" ht="4.95" customHeight="1">
      <c r="A143" s="856"/>
      <c r="B143" s="614"/>
      <c r="C143" s="614"/>
      <c r="D143" s="614"/>
      <c r="E143" s="614"/>
      <c r="F143" s="614"/>
      <c r="G143" s="614"/>
      <c r="H143" s="613"/>
      <c r="I143" s="613"/>
      <c r="J143" s="613"/>
      <c r="K143" s="613"/>
      <c r="L143" s="613"/>
      <c r="M143" s="613"/>
      <c r="N143" s="866"/>
      <c r="O143" s="629"/>
      <c r="P143" s="629"/>
      <c r="Q143" s="629"/>
      <c r="R143" s="629"/>
      <c r="S143" s="629"/>
      <c r="T143" s="629"/>
      <c r="U143" s="629"/>
      <c r="V143" s="629"/>
      <c r="W143" s="629"/>
      <c r="X143" s="629"/>
      <c r="Y143" s="629"/>
      <c r="Z143" s="629"/>
      <c r="AA143" s="629"/>
      <c r="AB143" s="630"/>
    </row>
    <row r="144" spans="1:39" ht="25.05" customHeight="1">
      <c r="A144" s="299"/>
      <c r="B144" s="1377" t="s">
        <v>7</v>
      </c>
      <c r="C144" s="1377"/>
      <c r="D144" s="1377"/>
      <c r="E144" s="1377"/>
      <c r="F144" s="1377"/>
      <c r="G144" s="1377"/>
      <c r="H144" s="1377"/>
      <c r="I144" s="1377"/>
      <c r="J144" s="1377"/>
      <c r="K144" s="1377"/>
      <c r="L144" s="1377"/>
      <c r="M144" s="1377"/>
      <c r="N144" s="489"/>
      <c r="O144" s="629"/>
      <c r="P144" s="629"/>
      <c r="Q144" s="629"/>
      <c r="R144" s="629"/>
      <c r="S144" s="629"/>
      <c r="T144" s="629"/>
      <c r="U144" s="629"/>
      <c r="V144" s="629"/>
      <c r="W144" s="629"/>
      <c r="X144" s="629"/>
      <c r="Y144" s="629"/>
      <c r="Z144" s="629"/>
      <c r="AA144" s="629"/>
      <c r="AB144" s="630"/>
    </row>
    <row r="145" spans="1:43" ht="30" customHeight="1">
      <c r="A145" s="856"/>
      <c r="B145" s="1358" t="str">
        <f>IF($H$115="",$W$1379,$W$1377)</f>
        <v>Reject</v>
      </c>
      <c r="C145" s="1358"/>
      <c r="D145" s="1358"/>
      <c r="E145" s="1358"/>
      <c r="F145" s="1358"/>
      <c r="G145" s="1358"/>
      <c r="H145" s="1359" t="str">
        <f>IF($H$115="",$Z$1379,$Z$1377)</f>
        <v>Reject</v>
      </c>
      <c r="I145" s="1359"/>
      <c r="J145" s="1359"/>
      <c r="K145" s="1359"/>
      <c r="L145" s="1359"/>
      <c r="M145" s="1359"/>
      <c r="N145" s="866"/>
      <c r="O145" s="629"/>
      <c r="P145" s="629"/>
      <c r="Q145" s="629"/>
      <c r="R145" s="629"/>
      <c r="S145" s="629"/>
      <c r="T145" s="629"/>
      <c r="U145" s="629"/>
      <c r="V145" s="629"/>
      <c r="W145" s="629"/>
      <c r="X145" s="629"/>
      <c r="Y145" s="629"/>
      <c r="Z145" s="629"/>
      <c r="AA145" s="629"/>
      <c r="AB145" s="630"/>
    </row>
    <row r="146" spans="1:43" ht="19.95" customHeight="1">
      <c r="A146" s="856"/>
      <c r="B146" s="1360" t="str">
        <f>AI147</f>
        <v>No one is free until we all can be equally free.</v>
      </c>
      <c r="C146" s="1360"/>
      <c r="D146" s="1360"/>
      <c r="E146" s="1360"/>
      <c r="F146" s="1360"/>
      <c r="G146" s="1360"/>
      <c r="H146" s="1333" t="str">
        <f>AI149</f>
        <v>Too much government ensures we will all stay equally poor.</v>
      </c>
      <c r="I146" s="1333"/>
      <c r="J146" s="1333"/>
      <c r="K146" s="1333"/>
      <c r="L146" s="1333"/>
      <c r="M146" s="1333"/>
      <c r="N146" s="866"/>
      <c r="O146" s="629"/>
      <c r="P146" s="629"/>
      <c r="Q146" s="629"/>
      <c r="R146" s="629"/>
      <c r="S146" s="629"/>
      <c r="T146" s="629"/>
      <c r="U146" s="629"/>
      <c r="V146" s="629"/>
      <c r="W146" s="629"/>
      <c r="X146" s="629"/>
      <c r="Y146" s="629"/>
      <c r="Z146" s="629"/>
      <c r="AA146" s="629"/>
      <c r="AB146" s="630"/>
    </row>
    <row r="147" spans="1:43" ht="19.95" customHeight="1">
      <c r="A147" s="856"/>
      <c r="B147" s="1360"/>
      <c r="C147" s="1360"/>
      <c r="D147" s="1360"/>
      <c r="E147" s="1360"/>
      <c r="F147" s="1360"/>
      <c r="G147" s="1360"/>
      <c r="H147" s="1333"/>
      <c r="I147" s="1333"/>
      <c r="J147" s="1333"/>
      <c r="K147" s="1333"/>
      <c r="L147" s="1333"/>
      <c r="M147" s="1333"/>
      <c r="N147" s="866"/>
      <c r="O147" s="629"/>
      <c r="P147" s="629"/>
      <c r="Q147" s="629"/>
      <c r="R147" s="629"/>
      <c r="S147" s="629"/>
      <c r="T147" s="629"/>
      <c r="U147" s="629"/>
      <c r="V147" s="629"/>
      <c r="W147" s="629"/>
      <c r="X147" s="629"/>
      <c r="Y147" s="629"/>
      <c r="Z147" s="629"/>
      <c r="AA147" s="629"/>
      <c r="AB147" s="630"/>
      <c r="AI147" s="896" t="str">
        <f>IF($H$115="",AM147,AK147)</f>
        <v>No one is free until we all can be equally free.</v>
      </c>
      <c r="AK147" s="465" t="str">
        <f>$I$1377</f>
        <v/>
      </c>
      <c r="AM147" s="734" t="s">
        <v>3194</v>
      </c>
    </row>
    <row r="148" spans="1:43" ht="19.95" customHeight="1">
      <c r="A148" s="856"/>
      <c r="B148" s="1360"/>
      <c r="C148" s="1360"/>
      <c r="D148" s="1360"/>
      <c r="E148" s="1360"/>
      <c r="F148" s="1360"/>
      <c r="G148" s="1360"/>
      <c r="H148" s="1333"/>
      <c r="I148" s="1333"/>
      <c r="J148" s="1333"/>
      <c r="K148" s="1333"/>
      <c r="L148" s="1333"/>
      <c r="M148" s="1333"/>
      <c r="N148" s="866"/>
      <c r="O148" s="629"/>
      <c r="P148" s="629"/>
      <c r="Q148" s="629"/>
      <c r="R148" s="629"/>
      <c r="S148" s="629"/>
      <c r="T148" s="629"/>
      <c r="U148" s="629"/>
      <c r="V148" s="629"/>
      <c r="W148" s="629"/>
      <c r="X148" s="629"/>
      <c r="Y148" s="629"/>
      <c r="Z148" s="629"/>
      <c r="AA148" s="629"/>
      <c r="AB148" s="630"/>
    </row>
    <row r="149" spans="1:43" ht="19.95" customHeight="1">
      <c r="A149" s="856"/>
      <c r="B149" s="1360"/>
      <c r="C149" s="1360"/>
      <c r="D149" s="1360"/>
      <c r="E149" s="1360"/>
      <c r="F149" s="1360"/>
      <c r="G149" s="1360"/>
      <c r="H149" s="1333"/>
      <c r="I149" s="1333"/>
      <c r="J149" s="1333"/>
      <c r="K149" s="1333"/>
      <c r="L149" s="1333"/>
      <c r="M149" s="1333"/>
      <c r="N149" s="866"/>
      <c r="O149" s="629"/>
      <c r="P149" s="629"/>
      <c r="Q149" s="629"/>
      <c r="R149" s="629"/>
      <c r="S149" s="629"/>
      <c r="T149" s="629"/>
      <c r="U149" s="629"/>
      <c r="V149" s="629"/>
      <c r="W149" s="629"/>
      <c r="X149" s="629"/>
      <c r="Y149" s="629"/>
      <c r="Z149" s="629"/>
      <c r="AA149" s="629"/>
      <c r="AB149" s="630"/>
      <c r="AI149" s="898" t="str">
        <f>IF($H$115="",AM149,AK149)</f>
        <v>Too much government ensures we will all stay equally poor.</v>
      </c>
      <c r="AK149" s="465" t="str">
        <f>$L$1377</f>
        <v/>
      </c>
      <c r="AM149" s="734" t="s">
        <v>3195</v>
      </c>
    </row>
    <row r="150" spans="1:43" ht="4.95" customHeight="1">
      <c r="A150" s="856"/>
      <c r="B150" s="614"/>
      <c r="C150" s="614"/>
      <c r="D150" s="614"/>
      <c r="E150" s="614"/>
      <c r="F150" s="614"/>
      <c r="G150" s="614"/>
      <c r="H150" s="613"/>
      <c r="I150" s="613"/>
      <c r="J150" s="613"/>
      <c r="K150" s="613"/>
      <c r="L150" s="613"/>
      <c r="M150" s="613"/>
      <c r="N150" s="866"/>
      <c r="O150" s="629"/>
      <c r="P150" s="629"/>
      <c r="Q150" s="629"/>
      <c r="R150" s="629"/>
      <c r="S150" s="629"/>
      <c r="T150" s="629"/>
      <c r="U150" s="629"/>
      <c r="V150" s="629"/>
      <c r="W150" s="629"/>
      <c r="X150" s="629"/>
      <c r="Y150" s="629"/>
      <c r="Z150" s="629"/>
      <c r="AA150" s="629"/>
      <c r="AB150" s="630"/>
    </row>
    <row r="151" spans="1:43" ht="25.05" customHeight="1">
      <c r="A151" s="299"/>
      <c r="B151" s="1377" t="s">
        <v>9</v>
      </c>
      <c r="C151" s="1377"/>
      <c r="D151" s="1377"/>
      <c r="E151" s="1377"/>
      <c r="F151" s="1377"/>
      <c r="G151" s="1377"/>
      <c r="H151" s="1377"/>
      <c r="I151" s="1377"/>
      <c r="J151" s="1377"/>
      <c r="K151" s="1377"/>
      <c r="L151" s="1377"/>
      <c r="M151" s="1377"/>
      <c r="N151" s="489"/>
      <c r="O151" s="629"/>
      <c r="P151" s="629"/>
      <c r="Q151" s="629"/>
      <c r="R151" s="629"/>
      <c r="S151" s="629"/>
      <c r="T151" s="629"/>
      <c r="U151" s="629"/>
      <c r="V151" s="629"/>
      <c r="W151" s="629"/>
      <c r="X151" s="629"/>
      <c r="Y151" s="629"/>
      <c r="Z151" s="629"/>
      <c r="AA151" s="629"/>
      <c r="AB151" s="630"/>
    </row>
    <row r="152" spans="1:43" ht="30" customHeight="1">
      <c r="A152" s="856"/>
      <c r="B152" s="1358" t="str">
        <f>IF($H$115="",$X$1379,$X$1377)</f>
        <v>Demand</v>
      </c>
      <c r="C152" s="1358"/>
      <c r="D152" s="1358"/>
      <c r="E152" s="1358"/>
      <c r="F152" s="1358"/>
      <c r="G152" s="1358"/>
      <c r="H152" s="1359" t="str">
        <f>IF($H$115="",$AA$1379,$AA$1377)</f>
        <v>Demand</v>
      </c>
      <c r="I152" s="1359"/>
      <c r="J152" s="1359"/>
      <c r="K152" s="1359"/>
      <c r="L152" s="1359"/>
      <c r="M152" s="1359"/>
      <c r="N152" s="866"/>
      <c r="O152" s="629"/>
      <c r="P152" s="629"/>
      <c r="Q152" s="629"/>
      <c r="R152" s="629"/>
      <c r="S152" s="629"/>
      <c r="T152" s="629"/>
      <c r="U152" s="629"/>
      <c r="V152" s="629"/>
      <c r="W152" s="629"/>
      <c r="X152" s="629"/>
      <c r="Y152" s="629"/>
      <c r="Z152" s="629"/>
      <c r="AA152" s="629"/>
      <c r="AB152" s="630"/>
    </row>
    <row r="153" spans="1:43" ht="19.95" customHeight="1">
      <c r="A153" s="856"/>
      <c r="B153" s="1360" t="str">
        <f>AI154</f>
        <v>Provide more breaks for the historically oppressed, with government oversight.</v>
      </c>
      <c r="C153" s="1360"/>
      <c r="D153" s="1360"/>
      <c r="E153" s="1360"/>
      <c r="F153" s="1360"/>
      <c r="G153" s="1360"/>
      <c r="H153" s="1333" t="str">
        <f>AI156</f>
        <v>Guarantee more individual liberties, to remove the growing threat of government tyranny.</v>
      </c>
      <c r="I153" s="1333"/>
      <c r="J153" s="1333"/>
      <c r="K153" s="1333"/>
      <c r="L153" s="1333"/>
      <c r="M153" s="1333"/>
      <c r="N153" s="866"/>
      <c r="O153" s="629"/>
      <c r="P153" s="629"/>
      <c r="Q153" s="629"/>
      <c r="R153" s="629"/>
      <c r="S153" s="629"/>
      <c r="T153" s="629"/>
      <c r="U153" s="629"/>
      <c r="V153" s="629"/>
      <c r="W153" s="629"/>
      <c r="X153" s="629"/>
      <c r="Y153" s="629"/>
      <c r="Z153" s="629"/>
      <c r="AA153" s="629"/>
      <c r="AB153" s="630"/>
      <c r="AI153" s="37" t="str">
        <f>CONCATENATE(AK153,AL153,AM153,AN153)</f>
        <v/>
      </c>
    </row>
    <row r="154" spans="1:43" ht="19.95" customHeight="1">
      <c r="A154" s="856"/>
      <c r="B154" s="1360"/>
      <c r="C154" s="1360"/>
      <c r="D154" s="1360"/>
      <c r="E154" s="1360"/>
      <c r="F154" s="1360"/>
      <c r="G154" s="1360"/>
      <c r="H154" s="1333"/>
      <c r="I154" s="1333"/>
      <c r="J154" s="1333"/>
      <c r="K154" s="1333"/>
      <c r="L154" s="1333"/>
      <c r="M154" s="1333"/>
      <c r="N154" s="866"/>
      <c r="O154" s="629"/>
      <c r="P154" s="629"/>
      <c r="Q154" s="629"/>
      <c r="R154" s="629"/>
      <c r="S154" s="629"/>
      <c r="T154" s="629"/>
      <c r="U154" s="629"/>
      <c r="V154" s="629"/>
      <c r="W154" s="629"/>
      <c r="X154" s="629"/>
      <c r="Y154" s="629"/>
      <c r="Z154" s="629"/>
      <c r="AA154" s="629"/>
      <c r="AB154" s="630"/>
      <c r="AI154" s="896" t="str">
        <f>IF($H$115="",AM154,AK154)</f>
        <v>Provide more breaks for the historically oppressed, with government oversight.</v>
      </c>
      <c r="AK154" s="465" t="str">
        <f>$J$1377</f>
        <v/>
      </c>
      <c r="AM154" s="734" t="s">
        <v>3196</v>
      </c>
    </row>
    <row r="155" spans="1:43" ht="19.95" customHeight="1">
      <c r="A155" s="856"/>
      <c r="B155" s="1360"/>
      <c r="C155" s="1360"/>
      <c r="D155" s="1360"/>
      <c r="E155" s="1360"/>
      <c r="F155" s="1360"/>
      <c r="G155" s="1360"/>
      <c r="H155" s="1333"/>
      <c r="I155" s="1333"/>
      <c r="J155" s="1333"/>
      <c r="K155" s="1333"/>
      <c r="L155" s="1333"/>
      <c r="M155" s="1333"/>
      <c r="N155" s="866"/>
      <c r="O155" s="629"/>
      <c r="P155" s="629"/>
      <c r="Q155" s="629"/>
      <c r="R155" s="629"/>
      <c r="S155" s="629"/>
      <c r="T155" s="629"/>
      <c r="U155" s="629"/>
      <c r="V155" s="629"/>
      <c r="W155" s="629"/>
      <c r="X155" s="629"/>
      <c r="Y155" s="629"/>
      <c r="Z155" s="629"/>
      <c r="AA155" s="629"/>
      <c r="AB155" s="630"/>
    </row>
    <row r="156" spans="1:43" ht="19.95" customHeight="1">
      <c r="A156" s="856"/>
      <c r="B156" s="1360"/>
      <c r="C156" s="1360"/>
      <c r="D156" s="1360"/>
      <c r="E156" s="1360"/>
      <c r="F156" s="1360"/>
      <c r="G156" s="1360"/>
      <c r="H156" s="1333"/>
      <c r="I156" s="1333"/>
      <c r="J156" s="1333"/>
      <c r="K156" s="1333"/>
      <c r="L156" s="1333"/>
      <c r="M156" s="1333"/>
      <c r="N156" s="866"/>
      <c r="O156" s="629"/>
      <c r="P156" s="629"/>
      <c r="Q156" s="629"/>
      <c r="R156" s="629"/>
      <c r="S156" s="629"/>
      <c r="T156" s="629"/>
      <c r="U156" s="629"/>
      <c r="V156" s="629"/>
      <c r="W156" s="629"/>
      <c r="X156" s="629"/>
      <c r="Y156" s="629"/>
      <c r="Z156" s="629"/>
      <c r="AA156" s="629"/>
      <c r="AB156" s="630"/>
      <c r="AI156" s="898" t="str">
        <f>IF($H$115="",AM156,AK156)</f>
        <v>Guarantee more individual liberties, to remove the growing threat of government tyranny.</v>
      </c>
      <c r="AK156" s="465" t="str">
        <f>$M$1377</f>
        <v/>
      </c>
      <c r="AM156" s="734" t="s">
        <v>3197</v>
      </c>
    </row>
    <row r="157" spans="1:43" ht="19.95" customHeight="1">
      <c r="A157" s="856"/>
      <c r="B157" s="1360"/>
      <c r="C157" s="1360"/>
      <c r="D157" s="1360"/>
      <c r="E157" s="1360"/>
      <c r="F157" s="1360"/>
      <c r="G157" s="1360"/>
      <c r="H157" s="1333"/>
      <c r="I157" s="1333"/>
      <c r="J157" s="1333"/>
      <c r="K157" s="1333"/>
      <c r="L157" s="1333"/>
      <c r="M157" s="1333"/>
      <c r="N157" s="866"/>
      <c r="O157" s="629"/>
      <c r="P157" s="629"/>
      <c r="Q157" s="629"/>
      <c r="R157" s="629"/>
      <c r="S157" s="629"/>
      <c r="T157" s="629"/>
      <c r="U157" s="629"/>
      <c r="V157" s="629"/>
      <c r="W157" s="629"/>
      <c r="X157" s="629"/>
      <c r="Y157" s="629"/>
      <c r="Z157" s="629"/>
      <c r="AA157" s="629"/>
      <c r="AB157" s="630"/>
    </row>
    <row r="158" spans="1:43" ht="4.95" customHeight="1">
      <c r="A158" s="856"/>
      <c r="B158" s="614"/>
      <c r="C158" s="614"/>
      <c r="D158" s="614"/>
      <c r="E158" s="614"/>
      <c r="F158" s="614"/>
      <c r="G158" s="614"/>
      <c r="H158" s="613"/>
      <c r="I158" s="613"/>
      <c r="J158" s="613"/>
      <c r="K158" s="613"/>
      <c r="L158" s="613"/>
      <c r="M158" s="613"/>
      <c r="N158" s="866"/>
      <c r="O158" s="629"/>
      <c r="P158" s="629"/>
      <c r="Q158" s="629"/>
      <c r="R158" s="629"/>
      <c r="S158" s="629"/>
      <c r="T158" s="629"/>
      <c r="U158" s="629"/>
      <c r="V158" s="629"/>
      <c r="W158" s="629"/>
      <c r="X158" s="629"/>
      <c r="Y158" s="629"/>
      <c r="Z158" s="629"/>
      <c r="AA158" s="629"/>
      <c r="AB158" s="630"/>
    </row>
    <row r="159" spans="1:43" ht="10.050000000000001" customHeight="1">
      <c r="A159" s="853"/>
      <c r="B159" s="633"/>
      <c r="C159" s="633"/>
      <c r="D159" s="633"/>
      <c r="E159" s="633"/>
      <c r="F159" s="633"/>
      <c r="G159" s="633"/>
      <c r="H159" s="633"/>
      <c r="I159" s="633"/>
      <c r="J159" s="633"/>
      <c r="K159" s="633"/>
      <c r="L159" s="633"/>
      <c r="M159" s="633"/>
      <c r="N159" s="862"/>
      <c r="O159" s="629"/>
      <c r="P159" s="629"/>
      <c r="Q159" s="629"/>
      <c r="R159" s="629"/>
      <c r="S159" s="629"/>
      <c r="T159" s="629"/>
      <c r="U159" s="629"/>
      <c r="V159" s="629"/>
      <c r="W159" s="629"/>
      <c r="X159" s="629"/>
      <c r="Y159" s="629"/>
      <c r="Z159" s="629"/>
      <c r="AA159" s="629"/>
      <c r="AB159" s="630"/>
    </row>
    <row r="160" spans="1:43" ht="19.95" customHeight="1">
      <c r="A160" s="853"/>
      <c r="B160" s="1375" t="str">
        <f>AI160</f>
        <v>Your politically affected needs will unlikely resolve if you only argue, reject, and demand. politically politics exists to sort out our priority of needs, not to drive a deeper wedge between us. Let's close this gap with some empathy and love. Let's find a more need-responsive love-encouraging politics.</v>
      </c>
      <c r="C160" s="1375"/>
      <c r="D160" s="1375"/>
      <c r="E160" s="1375"/>
      <c r="F160" s="1375"/>
      <c r="G160" s="1375"/>
      <c r="H160" s="1375"/>
      <c r="I160" s="1375"/>
      <c r="J160" s="1375"/>
      <c r="K160" s="1375"/>
      <c r="L160" s="1375"/>
      <c r="M160" s="1375"/>
      <c r="N160" s="862"/>
      <c r="O160" s="629"/>
      <c r="P160" s="629"/>
      <c r="Q160" s="629"/>
      <c r="R160" s="629"/>
      <c r="S160" s="629"/>
      <c r="T160" s="629"/>
      <c r="U160" s="629"/>
      <c r="V160" s="629"/>
      <c r="W160" s="629"/>
      <c r="X160" s="629"/>
      <c r="Y160" s="629"/>
      <c r="Z160" s="629"/>
      <c r="AA160" s="629"/>
      <c r="AB160" s="630"/>
      <c r="AI160" s="459" t="str">
        <f>CONCATENATE(AK160,AL160,AM160,AN160,AO160,AP160,AQ160)</f>
        <v>Your politically affected needs will unlikely resolve if you only argue, reject, and demand. politically politics exists to sort out our priority of needs, not to drive a deeper wedge between us. Let's close this gap with some empathy and love. Let's find a more need-responsive love-encouraging politics.</v>
      </c>
      <c r="AK160" s="465" t="s">
        <v>2456</v>
      </c>
      <c r="AL160" s="2" t="str">
        <f>IF(H115="","politically",D1300)</f>
        <v>politically</v>
      </c>
      <c r="AM160" s="465" t="s">
        <v>2457</v>
      </c>
      <c r="AN160" s="2" t="str">
        <f>IF(H115="","politically",C1300)</f>
        <v>politically</v>
      </c>
      <c r="AO160" s="465" t="s">
        <v>2458</v>
      </c>
      <c r="AP160" s="2" t="str">
        <f>IF(H115="","love-encouraging",D1300)</f>
        <v>love-encouraging</v>
      </c>
      <c r="AQ160" s="465" t="s">
        <v>979</v>
      </c>
    </row>
    <row r="161" spans="1:52" ht="19.95" customHeight="1">
      <c r="A161" s="853"/>
      <c r="B161" s="1375"/>
      <c r="C161" s="1375"/>
      <c r="D161" s="1375"/>
      <c r="E161" s="1375"/>
      <c r="F161" s="1375"/>
      <c r="G161" s="1375"/>
      <c r="H161" s="1375"/>
      <c r="I161" s="1375"/>
      <c r="J161" s="1375"/>
      <c r="K161" s="1375"/>
      <c r="L161" s="1375"/>
      <c r="M161" s="1375"/>
      <c r="N161" s="862"/>
      <c r="O161" s="629"/>
      <c r="P161" s="629"/>
      <c r="Q161" s="629"/>
      <c r="R161" s="629"/>
      <c r="S161" s="629"/>
      <c r="T161" s="629"/>
      <c r="U161" s="629"/>
      <c r="V161" s="629"/>
      <c r="W161" s="629"/>
      <c r="X161" s="629"/>
      <c r="Y161" s="629"/>
      <c r="Z161" s="629"/>
      <c r="AA161" s="629"/>
      <c r="AB161" s="630"/>
      <c r="AI161" s="37"/>
    </row>
    <row r="162" spans="1:52" ht="19.95" customHeight="1">
      <c r="A162" s="853"/>
      <c r="B162" s="1375"/>
      <c r="C162" s="1375"/>
      <c r="D162" s="1375"/>
      <c r="E162" s="1375"/>
      <c r="F162" s="1375"/>
      <c r="G162" s="1375"/>
      <c r="H162" s="1375"/>
      <c r="I162" s="1375"/>
      <c r="J162" s="1375"/>
      <c r="K162" s="1375"/>
      <c r="L162" s="1375"/>
      <c r="M162" s="1375"/>
      <c r="N162" s="862"/>
      <c r="O162" s="629"/>
      <c r="P162" s="629"/>
      <c r="Q162" s="629"/>
      <c r="R162" s="629"/>
      <c r="S162" s="629"/>
      <c r="T162" s="629"/>
      <c r="U162" s="629"/>
      <c r="V162" s="629"/>
      <c r="W162" s="629"/>
      <c r="X162" s="629"/>
      <c r="Y162" s="629"/>
      <c r="Z162" s="629"/>
      <c r="AA162" s="629"/>
      <c r="AB162" s="630"/>
    </row>
    <row r="163" spans="1:52" ht="19.95" customHeight="1">
      <c r="A163" s="853"/>
      <c r="B163" s="1375"/>
      <c r="C163" s="1375"/>
      <c r="D163" s="1375"/>
      <c r="E163" s="1375"/>
      <c r="F163" s="1375"/>
      <c r="G163" s="1375"/>
      <c r="H163" s="1375"/>
      <c r="I163" s="1375"/>
      <c r="J163" s="1375"/>
      <c r="K163" s="1375"/>
      <c r="L163" s="1375"/>
      <c r="M163" s="1375"/>
      <c r="N163" s="862"/>
      <c r="O163" s="629"/>
      <c r="P163" s="629"/>
      <c r="Q163" s="629"/>
      <c r="R163" s="629"/>
      <c r="S163" s="629"/>
      <c r="T163" s="629"/>
      <c r="U163" s="629"/>
      <c r="V163" s="629"/>
      <c r="W163" s="629"/>
      <c r="X163" s="629"/>
      <c r="Y163" s="629"/>
      <c r="Z163" s="629"/>
      <c r="AA163" s="629"/>
      <c r="AB163" s="630"/>
    </row>
    <row r="164" spans="1:52" ht="10.050000000000001" customHeight="1">
      <c r="A164" s="857"/>
      <c r="B164" s="635"/>
      <c r="C164" s="635"/>
      <c r="D164" s="635"/>
      <c r="E164" s="635"/>
      <c r="F164" s="635"/>
      <c r="G164" s="635"/>
      <c r="H164" s="635"/>
      <c r="I164" s="635"/>
      <c r="J164" s="635"/>
      <c r="K164" s="635"/>
      <c r="L164" s="635"/>
      <c r="M164" s="635"/>
      <c r="N164" s="867"/>
      <c r="O164" s="635"/>
      <c r="P164" s="635"/>
      <c r="Q164" s="635"/>
      <c r="R164" s="635"/>
      <c r="S164" s="635"/>
      <c r="T164" s="635"/>
      <c r="U164" s="635"/>
      <c r="V164" s="635"/>
      <c r="W164" s="635"/>
      <c r="X164" s="635"/>
      <c r="Y164" s="635"/>
      <c r="Z164" s="635"/>
      <c r="AA164" s="635"/>
      <c r="AB164" s="636"/>
      <c r="AC164" s="651"/>
    </row>
    <row r="165" spans="1:52" ht="30" customHeight="1">
      <c r="A165" s="854" t="s">
        <v>1148</v>
      </c>
      <c r="B165" s="884" t="str">
        <f>AI165</f>
        <v>A need-responsive politics</v>
      </c>
      <c r="C165" s="884"/>
      <c r="D165" s="884"/>
      <c r="E165" s="884"/>
      <c r="F165" s="884"/>
      <c r="G165" s="884"/>
      <c r="H165" s="884"/>
      <c r="I165" s="884"/>
      <c r="J165" s="884"/>
      <c r="K165" s="884"/>
      <c r="L165" s="884"/>
      <c r="M165" s="884"/>
      <c r="N165" s="865" t="s">
        <v>1149</v>
      </c>
      <c r="O165" s="860"/>
      <c r="P165" s="647"/>
      <c r="Q165" s="647"/>
      <c r="R165" s="647"/>
      <c r="S165" s="647"/>
      <c r="T165" s="647"/>
      <c r="U165" s="647"/>
      <c r="V165" s="647"/>
      <c r="W165" s="647"/>
      <c r="X165" s="647"/>
      <c r="Y165" s="647"/>
      <c r="Z165" s="647"/>
      <c r="AA165" s="647"/>
      <c r="AB165" s="650" t="s">
        <v>1149</v>
      </c>
      <c r="AC165" s="652"/>
      <c r="AI165" s="459" t="str">
        <f>CONCATENATE(AK165,AL165,AM165)</f>
        <v>A need-responsive politics</v>
      </c>
      <c r="AK165" s="2" t="s">
        <v>2075</v>
      </c>
      <c r="AL165" s="2" t="str">
        <f>IF(H115="","",CONCATENATE(D1300," "))</f>
        <v/>
      </c>
      <c r="AM165" s="2" t="s">
        <v>2076</v>
      </c>
    </row>
    <row r="166" spans="1:52" ht="10.050000000000001" customHeight="1">
      <c r="A166" s="853"/>
      <c r="B166" s="629"/>
      <c r="C166" s="629"/>
      <c r="D166" s="629"/>
      <c r="E166" s="629"/>
      <c r="F166" s="629"/>
      <c r="G166" s="629"/>
      <c r="H166" s="629"/>
      <c r="I166" s="629"/>
      <c r="J166" s="629"/>
      <c r="K166" s="629"/>
      <c r="L166" s="629"/>
      <c r="M166" s="629"/>
      <c r="N166" s="862"/>
      <c r="O166" s="629"/>
      <c r="P166" s="629"/>
      <c r="Q166" s="629"/>
      <c r="R166" s="629"/>
      <c r="S166" s="629"/>
      <c r="T166" s="629"/>
      <c r="U166" s="629"/>
      <c r="V166" s="629"/>
      <c r="W166" s="629"/>
      <c r="X166" s="629"/>
      <c r="Y166" s="629"/>
      <c r="Z166" s="629"/>
      <c r="AA166" s="629"/>
      <c r="AB166" s="630"/>
      <c r="AC166" s="652"/>
    </row>
    <row r="167" spans="1:52" ht="19.95" customHeight="1">
      <c r="A167" s="853"/>
      <c r="B167" s="706" t="str">
        <f>AI167</f>
        <v>Start with love by addressing each other's politics affected needs.</v>
      </c>
      <c r="C167" s="631"/>
      <c r="D167" s="631"/>
      <c r="E167" s="631"/>
      <c r="F167" s="631"/>
      <c r="G167" s="631"/>
      <c r="H167" s="631"/>
      <c r="I167" s="631"/>
      <c r="J167" s="631"/>
      <c r="K167" s="631"/>
      <c r="L167" s="631"/>
      <c r="M167" s="631"/>
      <c r="N167" s="862"/>
      <c r="O167" s="629"/>
      <c r="P167" s="629"/>
      <c r="Q167" s="629"/>
      <c r="R167" s="629"/>
      <c r="S167" s="629"/>
      <c r="T167" s="629"/>
      <c r="U167" s="629"/>
      <c r="V167" s="629"/>
      <c r="W167" s="629"/>
      <c r="X167" s="629"/>
      <c r="Y167" s="629"/>
      <c r="Z167" s="629"/>
      <c r="AA167" s="629"/>
      <c r="AB167" s="630"/>
      <c r="AC167" s="652"/>
      <c r="AI167" s="459" t="str">
        <f>CONCATENATE(AK167,AL167,AM167)</f>
        <v>Start with love by addressing each other's politics affected needs.</v>
      </c>
      <c r="AK167" s="465" t="s">
        <v>2616</v>
      </c>
      <c r="AL167" s="2" t="str">
        <f>IF(D1300="","politics",D1300)</f>
        <v>politics</v>
      </c>
      <c r="AM167" s="465" t="s">
        <v>2615</v>
      </c>
      <c r="AP167" s="465" t="s">
        <v>2599</v>
      </c>
      <c r="AQ167" s="2" t="str">
        <f>IF(I1300="","politics",I1300)</f>
        <v>politics</v>
      </c>
      <c r="AR167" s="465" t="s">
        <v>2600</v>
      </c>
    </row>
    <row r="168" spans="1:52" ht="4.95" customHeight="1">
      <c r="A168" s="853"/>
      <c r="B168" s="633"/>
      <c r="C168" s="633"/>
      <c r="D168" s="633"/>
      <c r="E168" s="633"/>
      <c r="F168" s="633"/>
      <c r="G168" s="633"/>
      <c r="H168" s="633"/>
      <c r="I168" s="633"/>
      <c r="J168" s="633"/>
      <c r="K168" s="633"/>
      <c r="L168" s="633"/>
      <c r="M168" s="633"/>
      <c r="N168" s="862"/>
      <c r="O168" s="629"/>
      <c r="P168" s="629"/>
      <c r="Q168" s="629"/>
      <c r="R168" s="629"/>
      <c r="S168" s="629"/>
      <c r="T168" s="629"/>
      <c r="U168" s="629"/>
      <c r="V168" s="629"/>
      <c r="W168" s="629"/>
      <c r="X168" s="629"/>
      <c r="Y168" s="629"/>
      <c r="Z168" s="629"/>
      <c r="AA168" s="629"/>
      <c r="AB168" s="630"/>
      <c r="AK168" s="607"/>
      <c r="AL168" s="607"/>
      <c r="AM168" s="607"/>
      <c r="AN168" s="607"/>
      <c r="AO168" s="607"/>
      <c r="AP168" s="607"/>
      <c r="AQ168" s="607"/>
      <c r="AR168" s="607"/>
      <c r="AS168" s="607"/>
      <c r="AT168" s="607"/>
      <c r="AU168" s="607"/>
      <c r="AV168" s="607"/>
      <c r="AW168" s="607"/>
      <c r="AX168" s="607"/>
      <c r="AY168" s="607"/>
    </row>
    <row r="169" spans="1:52" ht="19.95" customHeight="1">
      <c r="A169" s="855" t="s">
        <v>2077</v>
      </c>
      <c r="B169" s="632"/>
      <c r="C169" s="631"/>
      <c r="D169" s="631"/>
      <c r="E169" s="631"/>
      <c r="F169" s="631"/>
      <c r="G169" s="631"/>
      <c r="H169" s="631"/>
      <c r="I169" s="631"/>
      <c r="J169" s="631"/>
      <c r="K169" s="631"/>
      <c r="L169" s="631"/>
      <c r="M169" s="631"/>
      <c r="N169" s="862"/>
      <c r="O169" s="629"/>
      <c r="P169" s="629"/>
      <c r="Q169" s="629"/>
      <c r="R169" s="629"/>
      <c r="S169" s="629"/>
      <c r="T169" s="629"/>
      <c r="U169" s="629"/>
      <c r="V169" s="629"/>
      <c r="W169" s="629"/>
      <c r="X169" s="629"/>
      <c r="Y169" s="629"/>
      <c r="Z169" s="629"/>
      <c r="AA169" s="629"/>
      <c r="AB169" s="630"/>
      <c r="AK169" s="607">
        <v>1</v>
      </c>
      <c r="AL169" s="607">
        <v>2</v>
      </c>
      <c r="AM169" s="607">
        <v>3</v>
      </c>
      <c r="AN169" s="607">
        <v>4</v>
      </c>
      <c r="AO169" s="607">
        <v>5</v>
      </c>
      <c r="AP169" s="607">
        <v>6</v>
      </c>
      <c r="AQ169" s="607">
        <v>7</v>
      </c>
      <c r="AR169" s="607">
        <v>8</v>
      </c>
      <c r="AS169" s="607">
        <v>9</v>
      </c>
      <c r="AT169" s="607">
        <v>10</v>
      </c>
      <c r="AU169" s="607">
        <v>11</v>
      </c>
      <c r="AV169" s="607">
        <v>12</v>
      </c>
      <c r="AW169" s="607">
        <v>13</v>
      </c>
      <c r="AX169" s="607">
        <v>14</v>
      </c>
      <c r="AY169" s="607">
        <v>15</v>
      </c>
    </row>
    <row r="170" spans="1:52" ht="19.95" customHeight="1">
      <c r="A170" s="853"/>
      <c r="B170" s="1375" t="str">
        <f>AI170</f>
        <v>When it comes to politics, you need to focus more on what impacts your needs. Your situation in life creates a clashing priority of needs than experienced by those of the other political side. Your needs come first. They prioritize your political reasoning, for their relief.</v>
      </c>
      <c r="C170" s="1375"/>
      <c r="D170" s="1375"/>
      <c r="E170" s="1375"/>
      <c r="F170" s="1375"/>
      <c r="G170" s="1375"/>
      <c r="H170" s="1375"/>
      <c r="I170" s="1375"/>
      <c r="J170" s="1375"/>
      <c r="K170" s="1375"/>
      <c r="L170" s="1375"/>
      <c r="M170" s="1375"/>
      <c r="N170" s="862"/>
      <c r="O170" s="629"/>
      <c r="P170" s="629"/>
      <c r="Q170" s="629"/>
      <c r="R170" s="629"/>
      <c r="S170" s="629"/>
      <c r="T170" s="629"/>
      <c r="U170" s="629"/>
      <c r="V170" s="629"/>
      <c r="W170" s="629"/>
      <c r="X170" s="629"/>
      <c r="Y170" s="629"/>
      <c r="Z170" s="629"/>
      <c r="AA170" s="629"/>
      <c r="AB170" s="630"/>
      <c r="AI170" s="459" t="str">
        <f>IF(OR(H$115="",H$113=""),AK171,CONCATENATE(AK170,AL170,AM170,AN170,AO170,AP170,AQ170,AR170,AS170,AT170,AU170,AV170,AW170,AX170))</f>
        <v>When it comes to politics, you need to focus more on what impacts your needs. Your situation in life creates a clashing priority of needs than experienced by those of the other political side. Your needs come first. They prioritize your political reasoning, for their relief.</v>
      </c>
      <c r="AK170" s="465" t="s">
        <v>2082</v>
      </c>
      <c r="AL170" s="2" t="str">
        <f>IF(D1300="","politics",D1300)</f>
        <v>politics</v>
      </c>
      <c r="AM170" s="465" t="s">
        <v>2083</v>
      </c>
      <c r="AN170" s="703" t="str">
        <f>L1299</f>
        <v/>
      </c>
      <c r="AO170" s="465" t="s">
        <v>2084</v>
      </c>
      <c r="AP170" s="2" t="str">
        <f>P1299</f>
        <v/>
      </c>
      <c r="AQ170" s="465" t="s">
        <v>2085</v>
      </c>
      <c r="AR170" s="2" t="str">
        <f>AN170</f>
        <v/>
      </c>
      <c r="AS170" s="465" t="s">
        <v>2089</v>
      </c>
      <c r="AT170" s="465" t="str">
        <f>IF(AU170=I1308,"an ","a ")</f>
        <v xml:space="preserve">a </v>
      </c>
      <c r="AU170" s="2" t="str">
        <f>H1299</f>
        <v/>
      </c>
      <c r="AV170" s="465" t="s">
        <v>2487</v>
      </c>
      <c r="AX170" s="465"/>
      <c r="AZ170" s="465"/>
    </row>
    <row r="171" spans="1:52" ht="19.95" customHeight="1">
      <c r="A171" s="853"/>
      <c r="B171" s="1375"/>
      <c r="C171" s="1375"/>
      <c r="D171" s="1375"/>
      <c r="E171" s="1375"/>
      <c r="F171" s="1375"/>
      <c r="G171" s="1375"/>
      <c r="H171" s="1375"/>
      <c r="I171" s="1375"/>
      <c r="J171" s="1375"/>
      <c r="K171" s="1375"/>
      <c r="L171" s="1375"/>
      <c r="M171" s="1375"/>
      <c r="N171" s="862"/>
      <c r="O171" s="629"/>
      <c r="P171" s="629"/>
      <c r="Q171" s="629"/>
      <c r="R171" s="629"/>
      <c r="S171" s="629"/>
      <c r="T171" s="629"/>
      <c r="U171" s="629"/>
      <c r="V171" s="629"/>
      <c r="W171" s="629"/>
      <c r="X171" s="629"/>
      <c r="Y171" s="629"/>
      <c r="Z171" s="629"/>
      <c r="AA171" s="629"/>
      <c r="AB171" s="630"/>
      <c r="AK171" s="734" t="s">
        <v>3173</v>
      </c>
    </row>
    <row r="172" spans="1:52" ht="19.95" customHeight="1">
      <c r="A172" s="853"/>
      <c r="B172" s="1375"/>
      <c r="C172" s="1375"/>
      <c r="D172" s="1375"/>
      <c r="E172" s="1375"/>
      <c r="F172" s="1375"/>
      <c r="G172" s="1375"/>
      <c r="H172" s="1375"/>
      <c r="I172" s="1375"/>
      <c r="J172" s="1375"/>
      <c r="K172" s="1375"/>
      <c r="L172" s="1375"/>
      <c r="M172" s="1375"/>
      <c r="N172" s="862"/>
      <c r="O172" s="629"/>
      <c r="P172" s="629"/>
      <c r="Q172" s="629"/>
      <c r="R172" s="629"/>
      <c r="S172" s="629"/>
      <c r="T172" s="629"/>
      <c r="U172" s="629"/>
      <c r="V172" s="629"/>
      <c r="W172" s="629"/>
      <c r="X172" s="629"/>
      <c r="Y172" s="629"/>
      <c r="Z172" s="629"/>
      <c r="AA172" s="629"/>
      <c r="AB172" s="630"/>
    </row>
    <row r="173" spans="1:52" ht="34.950000000000003" customHeight="1">
      <c r="A173" s="853"/>
      <c r="B173" s="1375"/>
      <c r="C173" s="1375"/>
      <c r="D173" s="1375"/>
      <c r="E173" s="1375"/>
      <c r="F173" s="1375"/>
      <c r="G173" s="1375"/>
      <c r="H173" s="1375"/>
      <c r="I173" s="1375"/>
      <c r="J173" s="1375"/>
      <c r="K173" s="1375"/>
      <c r="L173" s="1375"/>
      <c r="M173" s="1375"/>
      <c r="N173" s="862"/>
      <c r="O173" s="629"/>
      <c r="P173" s="629"/>
      <c r="Q173" s="629"/>
      <c r="R173" s="629"/>
      <c r="S173" s="629"/>
      <c r="T173" s="629"/>
      <c r="U173" s="629"/>
      <c r="V173" s="629"/>
      <c r="W173" s="629"/>
      <c r="X173" s="629"/>
      <c r="Y173" s="629"/>
      <c r="Z173" s="629"/>
      <c r="AA173" s="629"/>
      <c r="AB173" s="630"/>
    </row>
    <row r="174" spans="1:52" ht="19.95" customHeight="1">
      <c r="A174" s="853"/>
      <c r="B174" s="667"/>
      <c r="C174" s="667"/>
      <c r="D174" s="667"/>
      <c r="E174" s="667"/>
      <c r="F174" s="667"/>
      <c r="G174" s="667"/>
      <c r="H174" s="667"/>
      <c r="I174" s="667"/>
      <c r="J174" s="667"/>
      <c r="K174" s="667"/>
      <c r="L174" s="667"/>
      <c r="M174" s="667"/>
      <c r="N174" s="862"/>
      <c r="O174" s="629"/>
      <c r="P174" s="629"/>
      <c r="Q174" s="629"/>
      <c r="R174" s="629"/>
      <c r="S174" s="629"/>
      <c r="T174" s="629"/>
      <c r="U174" s="629"/>
      <c r="V174" s="629"/>
      <c r="W174" s="629"/>
      <c r="X174" s="629"/>
      <c r="Y174" s="629"/>
      <c r="Z174" s="629"/>
      <c r="AA174" s="629"/>
      <c r="AB174" s="630"/>
    </row>
    <row r="175" spans="1:52" ht="18" customHeight="1">
      <c r="A175" s="853"/>
      <c r="B175" s="1391" t="str">
        <f>AI175</f>
        <v>First, you need something they may eventually need.</v>
      </c>
      <c r="C175" s="1391"/>
      <c r="D175" s="1391"/>
      <c r="E175" s="1391"/>
      <c r="F175" s="667"/>
      <c r="G175" s="667"/>
      <c r="H175" s="667"/>
      <c r="I175" s="667"/>
      <c r="J175" s="1391" t="str">
        <f>AI178</f>
        <v>First, they need something you may eventually need.</v>
      </c>
      <c r="K175" s="1391"/>
      <c r="L175" s="1391"/>
      <c r="M175" s="1391"/>
      <c r="N175" s="862"/>
      <c r="O175" s="629"/>
      <c r="P175" s="629"/>
      <c r="Q175" s="629"/>
      <c r="R175" s="629"/>
      <c r="S175" s="629"/>
      <c r="T175" s="629"/>
      <c r="U175" s="629"/>
      <c r="V175" s="629"/>
      <c r="W175" s="629"/>
      <c r="X175" s="629"/>
      <c r="Y175" s="629"/>
      <c r="Z175" s="629"/>
      <c r="AA175" s="629"/>
      <c r="AB175" s="630"/>
      <c r="AI175" s="459" t="str">
        <f>IF(OR(H$113="",H$115=""),AQ175,CONCATENATE(AK175,AL175,AM175,AN175,AO175))</f>
        <v>First, you need something they may eventually need.</v>
      </c>
      <c r="AK175" s="465" t="s">
        <v>3163</v>
      </c>
      <c r="AL175" s="2" t="str">
        <f>L$1299</f>
        <v/>
      </c>
      <c r="AM175" s="466" t="s">
        <v>3164</v>
      </c>
      <c r="AN175" s="2" t="str">
        <f>P$1299</f>
        <v/>
      </c>
      <c r="AO175" s="465" t="s">
        <v>706</v>
      </c>
      <c r="AQ175" s="465" t="s">
        <v>3169</v>
      </c>
    </row>
    <row r="176" spans="1:52" ht="18" customHeight="1">
      <c r="A176" s="853"/>
      <c r="B176" s="1391"/>
      <c r="C176" s="1391"/>
      <c r="D176" s="1391"/>
      <c r="E176" s="1391"/>
      <c r="F176" s="667"/>
      <c r="G176" s="667"/>
      <c r="H176" s="667"/>
      <c r="I176" s="667"/>
      <c r="J176" s="1391"/>
      <c r="K176" s="1391"/>
      <c r="L176" s="1391"/>
      <c r="M176" s="1391"/>
      <c r="N176" s="862"/>
      <c r="O176" s="629"/>
      <c r="P176" s="629"/>
      <c r="Q176" s="629"/>
      <c r="R176" s="629"/>
      <c r="S176" s="629"/>
      <c r="T176" s="629"/>
      <c r="U176" s="629"/>
      <c r="V176" s="629"/>
      <c r="W176" s="629"/>
      <c r="X176" s="629"/>
      <c r="Y176" s="629"/>
      <c r="Z176" s="629"/>
      <c r="AA176" s="629"/>
      <c r="AB176" s="630"/>
      <c r="AI176" s="459" t="str">
        <f>IF(OR(H$113="",H$115=""),AQ176,CONCATENATE(AK176,AL176,AM176,AN176,AO176))</f>
        <v>You're too busy easing your pain to see their affected needs.</v>
      </c>
      <c r="AK176" s="465" t="s">
        <v>3166</v>
      </c>
      <c r="AL176" s="2" t="str">
        <f>H$1299</f>
        <v/>
      </c>
      <c r="AM176" s="465" t="s">
        <v>3161</v>
      </c>
      <c r="AO176" s="465"/>
      <c r="AQ176" s="465" t="s">
        <v>3170</v>
      </c>
    </row>
    <row r="177" spans="1:52" ht="18" customHeight="1" thickBot="1">
      <c r="A177" s="853"/>
      <c r="B177" s="1392"/>
      <c r="C177" s="1392"/>
      <c r="D177" s="1392"/>
      <c r="E177" s="1392"/>
      <c r="F177" s="668"/>
      <c r="G177" s="668"/>
      <c r="H177" s="668"/>
      <c r="I177" s="668"/>
      <c r="J177" s="1392"/>
      <c r="K177" s="1392"/>
      <c r="L177" s="1392"/>
      <c r="M177" s="1392"/>
      <c r="N177" s="862"/>
      <c r="O177" s="629"/>
      <c r="P177" s="629"/>
      <c r="Q177" s="629"/>
      <c r="R177" s="629"/>
      <c r="S177" s="629"/>
      <c r="T177" s="629"/>
      <c r="U177" s="629"/>
      <c r="V177" s="629"/>
      <c r="W177" s="629"/>
      <c r="X177" s="629"/>
      <c r="Y177" s="629"/>
      <c r="Z177" s="629"/>
      <c r="AA177" s="629"/>
      <c r="AB177" s="630"/>
    </row>
    <row r="178" spans="1:52" ht="18" customHeight="1" thickTop="1">
      <c r="A178" s="853"/>
      <c r="B178" s="1393" t="str">
        <f>AI176</f>
        <v>You're too busy easing your pain to see their affected needs.</v>
      </c>
      <c r="C178" s="1393"/>
      <c r="D178" s="1393"/>
      <c r="E178" s="1393"/>
      <c r="F178" s="655"/>
      <c r="G178" s="655"/>
      <c r="H178" s="655"/>
      <c r="I178" s="655"/>
      <c r="J178" s="1393" t="str">
        <f>AI179</f>
        <v>They're too busy easing their pain to see your affected needs.</v>
      </c>
      <c r="K178" s="1393"/>
      <c r="L178" s="1393"/>
      <c r="M178" s="1393"/>
      <c r="N178" s="862"/>
      <c r="O178" s="629"/>
      <c r="P178" s="629"/>
      <c r="Q178" s="629"/>
      <c r="R178" s="629"/>
      <c r="S178" s="629"/>
      <c r="T178" s="629"/>
      <c r="U178" s="629"/>
      <c r="V178" s="629"/>
      <c r="W178" s="629"/>
      <c r="X178" s="629"/>
      <c r="Y178" s="629"/>
      <c r="Z178" s="629"/>
      <c r="AA178" s="629"/>
      <c r="AB178" s="630"/>
      <c r="AI178" s="459" t="str">
        <f>IF(OR(H$113="",H$115=""),AQ178,CONCATENATE(AK178,AL178,AM178,AN178,AO178))</f>
        <v>First, they need something you may eventually need.</v>
      </c>
      <c r="AK178" s="465" t="s">
        <v>3165</v>
      </c>
      <c r="AL178" s="2" t="str">
        <f>M$1299</f>
        <v/>
      </c>
      <c r="AM178" s="466" t="s">
        <v>3164</v>
      </c>
      <c r="AN178" s="2" t="str">
        <f>Q$1299</f>
        <v/>
      </c>
      <c r="AO178" s="465" t="s">
        <v>706</v>
      </c>
      <c r="AQ178" s="465" t="s">
        <v>3168</v>
      </c>
    </row>
    <row r="179" spans="1:52" ht="18" customHeight="1">
      <c r="A179" s="853"/>
      <c r="B179" s="1393"/>
      <c r="C179" s="1393"/>
      <c r="D179" s="1393"/>
      <c r="E179" s="1393"/>
      <c r="F179" s="655"/>
      <c r="G179" s="655"/>
      <c r="H179" s="655"/>
      <c r="I179" s="655"/>
      <c r="J179" s="1393"/>
      <c r="K179" s="1393"/>
      <c r="L179" s="1393"/>
      <c r="M179" s="1393"/>
      <c r="N179" s="862"/>
      <c r="O179" s="629"/>
      <c r="P179" s="629"/>
      <c r="Q179" s="629"/>
      <c r="R179" s="629"/>
      <c r="S179" s="629"/>
      <c r="T179" s="629"/>
      <c r="U179" s="629"/>
      <c r="V179" s="629"/>
      <c r="W179" s="629"/>
      <c r="X179" s="629"/>
      <c r="Y179" s="629"/>
      <c r="Z179" s="629"/>
      <c r="AA179" s="629"/>
      <c r="AB179" s="630"/>
      <c r="AI179" s="459" t="str">
        <f>IF(OR(H$113="",H$115=""),AQ179,CONCATENATE(AK179,AL179,AM179,AN179,AO179))</f>
        <v>They're too busy easing their pain to see your affected needs.</v>
      </c>
      <c r="AK179" s="465" t="s">
        <v>3166</v>
      </c>
      <c r="AL179" s="2" t="str">
        <f>I$1299</f>
        <v/>
      </c>
      <c r="AM179" s="465" t="s">
        <v>3162</v>
      </c>
      <c r="AO179" s="465"/>
      <c r="AQ179" s="465" t="s">
        <v>3171</v>
      </c>
    </row>
    <row r="180" spans="1:52" ht="18" customHeight="1">
      <c r="A180" s="853"/>
      <c r="B180" s="1393"/>
      <c r="C180" s="1393"/>
      <c r="D180" s="1393"/>
      <c r="E180" s="1393"/>
      <c r="F180" s="655"/>
      <c r="G180" s="655"/>
      <c r="H180" s="655"/>
      <c r="I180" s="655"/>
      <c r="J180" s="1393"/>
      <c r="K180" s="1393"/>
      <c r="L180" s="1393"/>
      <c r="M180" s="1393"/>
      <c r="N180" s="862"/>
      <c r="O180" s="629"/>
      <c r="P180" s="629"/>
      <c r="Q180" s="629"/>
      <c r="R180" s="629"/>
      <c r="S180" s="629"/>
      <c r="T180" s="629"/>
      <c r="U180" s="629"/>
      <c r="V180" s="629"/>
      <c r="W180" s="629"/>
      <c r="X180" s="629"/>
      <c r="Y180" s="629"/>
      <c r="Z180" s="629"/>
      <c r="AA180" s="629"/>
      <c r="AB180" s="630"/>
    </row>
    <row r="181" spans="1:52" ht="19.95" customHeight="1">
      <c r="A181" s="853"/>
      <c r="B181" s="655"/>
      <c r="C181" s="655"/>
      <c r="D181" s="655"/>
      <c r="E181" s="655"/>
      <c r="F181" s="655"/>
      <c r="G181" s="655"/>
      <c r="H181" s="655"/>
      <c r="I181" s="655"/>
      <c r="J181" s="655"/>
      <c r="K181" s="655"/>
      <c r="L181" s="655"/>
      <c r="M181" s="655"/>
      <c r="N181" s="862"/>
      <c r="O181" s="629"/>
      <c r="P181" s="629"/>
      <c r="Q181" s="629"/>
      <c r="R181" s="629"/>
      <c r="S181" s="629"/>
      <c r="T181" s="629"/>
      <c r="U181" s="629"/>
      <c r="V181" s="629"/>
      <c r="W181" s="629"/>
      <c r="X181" s="629"/>
      <c r="Y181" s="629"/>
      <c r="Z181" s="629"/>
      <c r="AA181" s="629"/>
      <c r="AB181" s="630"/>
    </row>
    <row r="182" spans="1:52" ht="4.95" customHeight="1">
      <c r="A182" s="853"/>
      <c r="B182" s="631"/>
      <c r="C182" s="631"/>
      <c r="D182" s="631"/>
      <c r="E182" s="631"/>
      <c r="F182" s="631"/>
      <c r="G182" s="631"/>
      <c r="H182" s="631"/>
      <c r="I182" s="631"/>
      <c r="J182" s="631"/>
      <c r="K182" s="631"/>
      <c r="L182" s="631"/>
      <c r="M182" s="631"/>
      <c r="N182" s="862"/>
      <c r="O182" s="629"/>
      <c r="P182" s="629"/>
      <c r="Q182" s="629"/>
      <c r="R182" s="629"/>
      <c r="S182" s="629"/>
      <c r="T182" s="629"/>
      <c r="U182" s="629"/>
      <c r="V182" s="629"/>
      <c r="W182" s="629"/>
      <c r="X182" s="629"/>
      <c r="Y182" s="629"/>
      <c r="Z182" s="629"/>
      <c r="AA182" s="629"/>
      <c r="AB182" s="630"/>
      <c r="AI182" s="37" t="str">
        <f>CONCATENATE(AK182,AL182,AM182,AN182)</f>
        <v/>
      </c>
    </row>
    <row r="183" spans="1:52" ht="19.95" customHeight="1">
      <c r="A183" s="855" t="s">
        <v>2078</v>
      </c>
      <c r="B183" s="632"/>
      <c r="C183" s="631"/>
      <c r="D183" s="631"/>
      <c r="E183" s="631"/>
      <c r="F183" s="631"/>
      <c r="G183" s="631"/>
      <c r="H183" s="631"/>
      <c r="I183" s="631"/>
      <c r="J183" s="631"/>
      <c r="K183" s="631"/>
      <c r="L183" s="631"/>
      <c r="M183" s="631"/>
      <c r="N183" s="862"/>
      <c r="O183" s="629"/>
      <c r="P183" s="629"/>
      <c r="Q183" s="629"/>
      <c r="R183" s="629"/>
      <c r="S183" s="629"/>
      <c r="T183" s="629"/>
      <c r="U183" s="629"/>
      <c r="V183" s="629"/>
      <c r="W183" s="629"/>
      <c r="X183" s="629"/>
      <c r="Y183" s="629"/>
      <c r="Z183" s="629"/>
      <c r="AA183" s="629"/>
      <c r="AB183" s="630"/>
    </row>
    <row r="184" spans="1:52" ht="19.95" customHeight="1">
      <c r="A184" s="853"/>
      <c r="B184" s="1375" t="str">
        <f>AI184</f>
        <v>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v>
      </c>
      <c r="C184" s="1375"/>
      <c r="D184" s="1375"/>
      <c r="E184" s="1375"/>
      <c r="F184" s="1375"/>
      <c r="G184" s="1375"/>
      <c r="H184" s="1375"/>
      <c r="I184" s="1375"/>
      <c r="J184" s="1375"/>
      <c r="K184" s="1375"/>
      <c r="L184" s="1375"/>
      <c r="M184" s="1375"/>
      <c r="N184" s="862"/>
      <c r="O184" s="629"/>
      <c r="P184" s="629"/>
      <c r="Q184" s="629"/>
      <c r="R184" s="629"/>
      <c r="S184" s="629"/>
      <c r="T184" s="629"/>
      <c r="U184" s="629"/>
      <c r="V184" s="629"/>
      <c r="W184" s="629"/>
      <c r="X184" s="629"/>
      <c r="Y184" s="629"/>
      <c r="Z184" s="629"/>
      <c r="AA184" s="629"/>
      <c r="AB184" s="630"/>
      <c r="AI184" s="459" t="str">
        <f>IF(OR(H$113="",H$115=""),AK185,CONCATENATE(AK184,AL184,AM184,AN184,AO184,AP184,AQ184,AR184,AS184,AT184,AU184,AV184,AW184,AX184))</f>
        <v>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v>
      </c>
      <c r="AK184" s="465" t="s">
        <v>2087</v>
      </c>
      <c r="AL184" s="2" t="str">
        <f>M1299</f>
        <v/>
      </c>
      <c r="AM184" s="465" t="s">
        <v>2084</v>
      </c>
      <c r="AN184" s="2" t="str">
        <f>Q1299</f>
        <v/>
      </c>
      <c r="AO184" s="465" t="s">
        <v>2088</v>
      </c>
      <c r="AP184" s="465" t="str">
        <f>IF(AQ184=I1308," an "," a ")</f>
        <v xml:space="preserve"> a </v>
      </c>
      <c r="AQ184" s="2" t="str">
        <f>I1299</f>
        <v/>
      </c>
      <c r="AR184" s="465" t="s">
        <v>1667</v>
      </c>
      <c r="AS184" s="2" t="str">
        <f>D1300</f>
        <v/>
      </c>
      <c r="AT184" s="465" t="s">
        <v>2086</v>
      </c>
      <c r="AV184" s="465"/>
      <c r="AX184" s="465"/>
      <c r="AZ184" s="465"/>
    </row>
    <row r="185" spans="1:52" ht="19.95" customHeight="1">
      <c r="A185" s="853"/>
      <c r="B185" s="1375"/>
      <c r="C185" s="1375"/>
      <c r="D185" s="1375"/>
      <c r="E185" s="1375"/>
      <c r="F185" s="1375"/>
      <c r="G185" s="1375"/>
      <c r="H185" s="1375"/>
      <c r="I185" s="1375"/>
      <c r="J185" s="1375"/>
      <c r="K185" s="1375"/>
      <c r="L185" s="1375"/>
      <c r="M185" s="1375"/>
      <c r="N185" s="862"/>
      <c r="O185" s="629"/>
      <c r="P185" s="629"/>
      <c r="Q185" s="629"/>
      <c r="R185" s="629"/>
      <c r="S185" s="629"/>
      <c r="T185" s="629"/>
      <c r="U185" s="629"/>
      <c r="V185" s="629"/>
      <c r="W185" s="629"/>
      <c r="X185" s="629"/>
      <c r="Y185" s="629"/>
      <c r="Z185" s="629"/>
      <c r="AA185" s="629"/>
      <c r="AB185" s="630"/>
      <c r="AK185" s="734" t="s">
        <v>3172</v>
      </c>
    </row>
    <row r="186" spans="1:52" ht="19.95" customHeight="1">
      <c r="A186" s="853"/>
      <c r="B186" s="1375"/>
      <c r="C186" s="1375"/>
      <c r="D186" s="1375"/>
      <c r="E186" s="1375"/>
      <c r="F186" s="1375"/>
      <c r="G186" s="1375"/>
      <c r="H186" s="1375"/>
      <c r="I186" s="1375"/>
      <c r="J186" s="1375"/>
      <c r="K186" s="1375"/>
      <c r="L186" s="1375"/>
      <c r="M186" s="1375"/>
      <c r="N186" s="862"/>
      <c r="O186" s="629"/>
      <c r="P186" s="629"/>
      <c r="Q186" s="629"/>
      <c r="R186" s="629"/>
      <c r="S186" s="629"/>
      <c r="T186" s="629"/>
      <c r="U186" s="629"/>
      <c r="V186" s="629"/>
      <c r="W186" s="629"/>
      <c r="X186" s="629"/>
      <c r="Y186" s="629"/>
      <c r="Z186" s="629"/>
      <c r="AA186" s="629"/>
      <c r="AB186" s="630"/>
    </row>
    <row r="187" spans="1:52" ht="19.95" customHeight="1">
      <c r="A187" s="853"/>
      <c r="B187" s="1375"/>
      <c r="C187" s="1375"/>
      <c r="D187" s="1375"/>
      <c r="E187" s="1375"/>
      <c r="F187" s="1375"/>
      <c r="G187" s="1375"/>
      <c r="H187" s="1375"/>
      <c r="I187" s="1375"/>
      <c r="J187" s="1375"/>
      <c r="K187" s="1375"/>
      <c r="L187" s="1375"/>
      <c r="M187" s="1375"/>
      <c r="N187" s="862"/>
      <c r="O187" s="629"/>
      <c r="P187" s="629"/>
      <c r="Q187" s="629"/>
      <c r="R187" s="629"/>
      <c r="S187" s="629"/>
      <c r="T187" s="629"/>
      <c r="U187" s="629"/>
      <c r="V187" s="629"/>
      <c r="W187" s="629"/>
      <c r="X187" s="629"/>
      <c r="Y187" s="629"/>
      <c r="Z187" s="629"/>
      <c r="AA187" s="629"/>
      <c r="AB187" s="630"/>
    </row>
    <row r="188" spans="1:52" ht="4.95" customHeight="1">
      <c r="A188" s="853"/>
      <c r="B188" s="655"/>
      <c r="C188" s="655"/>
      <c r="D188" s="655"/>
      <c r="E188" s="655"/>
      <c r="F188" s="655"/>
      <c r="G188" s="655"/>
      <c r="H188" s="655"/>
      <c r="I188" s="655"/>
      <c r="J188" s="655"/>
      <c r="K188" s="655"/>
      <c r="L188" s="655"/>
      <c r="M188" s="655"/>
      <c r="N188" s="862"/>
      <c r="O188" s="629"/>
      <c r="P188" s="629"/>
      <c r="Q188" s="629"/>
      <c r="R188" s="629"/>
      <c r="S188" s="629"/>
      <c r="T188" s="629"/>
      <c r="U188" s="629"/>
      <c r="V188" s="629"/>
      <c r="W188" s="629"/>
      <c r="X188" s="629"/>
      <c r="Y188" s="629"/>
      <c r="Z188" s="629"/>
      <c r="AA188" s="629"/>
      <c r="AB188" s="630"/>
    </row>
    <row r="189" spans="1:52" ht="18" customHeight="1">
      <c r="A189" s="853"/>
      <c r="B189" s="1394" t="str">
        <f>AI190</f>
        <v>Your publicly impacted inflexible needs</v>
      </c>
      <c r="C189" s="1394"/>
      <c r="D189" s="1394"/>
      <c r="E189" s="670"/>
      <c r="F189" s="670"/>
      <c r="G189" s="670"/>
      <c r="H189" s="670"/>
      <c r="I189" s="670"/>
      <c r="J189" s="670"/>
      <c r="K189" s="1394" t="str">
        <f>AI191</f>
        <v>Their publicly impacted inflexible needs</v>
      </c>
      <c r="L189" s="1394"/>
      <c r="M189" s="1394"/>
      <c r="N189" s="862"/>
      <c r="O189" s="629"/>
      <c r="P189" s="629"/>
      <c r="Q189" s="629"/>
      <c r="R189" s="629"/>
      <c r="S189" s="629"/>
      <c r="T189" s="629"/>
      <c r="U189" s="629"/>
      <c r="V189" s="629"/>
      <c r="W189" s="629"/>
      <c r="X189" s="629"/>
      <c r="Y189" s="629"/>
      <c r="Z189" s="629"/>
      <c r="AA189" s="629"/>
      <c r="AB189" s="630"/>
    </row>
    <row r="190" spans="1:52" ht="18" customHeight="1">
      <c r="A190" s="853"/>
      <c r="B190" s="1394"/>
      <c r="C190" s="1394"/>
      <c r="D190" s="1394"/>
      <c r="E190" s="670"/>
      <c r="F190" s="670"/>
      <c r="G190" s="670"/>
      <c r="H190" s="670"/>
      <c r="I190" s="670"/>
      <c r="J190" s="670"/>
      <c r="K190" s="1394"/>
      <c r="L190" s="1394"/>
      <c r="M190" s="1394"/>
      <c r="N190" s="862"/>
      <c r="O190" s="629"/>
      <c r="P190" s="629"/>
      <c r="Q190" s="629"/>
      <c r="R190" s="629"/>
      <c r="S190" s="629"/>
      <c r="T190" s="629"/>
      <c r="U190" s="629"/>
      <c r="V190" s="629"/>
      <c r="W190" s="629"/>
      <c r="X190" s="629"/>
      <c r="Y190" s="629"/>
      <c r="Z190" s="629"/>
      <c r="AA190" s="629"/>
      <c r="AB190" s="630"/>
      <c r="AI190" s="459" t="str">
        <f>CONCATENATE(AK190,AL190,AM190,AN190,AO190)</f>
        <v>Your publicly impacted inflexible needs</v>
      </c>
      <c r="AK190" s="465" t="s">
        <v>2464</v>
      </c>
      <c r="AL190" s="2" t="str">
        <f>IF($H$115="","inflexible",$D$1300)</f>
        <v>inflexible</v>
      </c>
      <c r="AM190" s="465" t="s">
        <v>2466</v>
      </c>
      <c r="AO190" s="465"/>
    </row>
    <row r="191" spans="1:52" ht="18" customHeight="1" thickBot="1">
      <c r="A191" s="853"/>
      <c r="B191" s="1395"/>
      <c r="C191" s="1395"/>
      <c r="D191" s="1395"/>
      <c r="E191" s="670"/>
      <c r="F191" s="670"/>
      <c r="G191" s="670"/>
      <c r="H191" s="670"/>
      <c r="I191" s="670"/>
      <c r="J191" s="670"/>
      <c r="K191" s="1395"/>
      <c r="L191" s="1395"/>
      <c r="M191" s="1395"/>
      <c r="N191" s="862"/>
      <c r="O191" s="629"/>
      <c r="P191" s="629"/>
      <c r="Q191" s="629"/>
      <c r="R191" s="629"/>
      <c r="S191" s="629"/>
      <c r="T191" s="629"/>
      <c r="U191" s="629"/>
      <c r="V191" s="629"/>
      <c r="W191" s="629"/>
      <c r="X191" s="629"/>
      <c r="Y191" s="629"/>
      <c r="Z191" s="629"/>
      <c r="AA191" s="629"/>
      <c r="AB191" s="630"/>
      <c r="AI191" s="459" t="str">
        <f>CONCATENATE(AK191,AL191,AM191,AN191,AO191)</f>
        <v>Their publicly impacted inflexible needs</v>
      </c>
      <c r="AK191" s="465" t="s">
        <v>2465</v>
      </c>
      <c r="AL191" s="2" t="str">
        <f>IF($H$115="","inflexible",$D$1300)</f>
        <v>inflexible</v>
      </c>
      <c r="AM191" s="465" t="s">
        <v>2466</v>
      </c>
      <c r="AO191" s="465"/>
    </row>
    <row r="192" spans="1:52" ht="18" customHeight="1" thickTop="1">
      <c r="A192" s="853"/>
      <c r="B192" s="1378" t="s">
        <v>2462</v>
      </c>
      <c r="C192" s="1378"/>
      <c r="D192" s="1378"/>
      <c r="E192" s="670"/>
      <c r="F192" s="670"/>
      <c r="G192" s="670"/>
      <c r="H192" s="670"/>
      <c r="I192" s="670"/>
      <c r="J192" s="670"/>
      <c r="K192" s="1378" t="s">
        <v>2463</v>
      </c>
      <c r="L192" s="1378"/>
      <c r="M192" s="1378"/>
      <c r="N192" s="862"/>
      <c r="O192" s="629"/>
      <c r="P192" s="629"/>
      <c r="Q192" s="629"/>
      <c r="R192" s="629"/>
      <c r="S192" s="629"/>
      <c r="T192" s="629"/>
      <c r="U192" s="629"/>
      <c r="V192" s="629"/>
      <c r="W192" s="629"/>
      <c r="X192" s="629"/>
      <c r="Y192" s="629"/>
      <c r="Z192" s="629"/>
      <c r="AA192" s="629"/>
      <c r="AB192" s="630"/>
    </row>
    <row r="193" spans="1:51" ht="18" customHeight="1">
      <c r="A193" s="853"/>
      <c r="B193" s="1379"/>
      <c r="C193" s="1379"/>
      <c r="D193" s="1379"/>
      <c r="E193" s="670"/>
      <c r="F193" s="670"/>
      <c r="G193" s="670"/>
      <c r="H193" s="670"/>
      <c r="I193" s="670"/>
      <c r="J193" s="670"/>
      <c r="K193" s="1379"/>
      <c r="L193" s="1379"/>
      <c r="M193" s="1379"/>
      <c r="N193" s="862"/>
      <c r="O193" s="629"/>
      <c r="P193" s="629"/>
      <c r="Q193" s="629"/>
      <c r="R193" s="629"/>
      <c r="S193" s="629"/>
      <c r="T193" s="629"/>
      <c r="U193" s="629"/>
      <c r="V193" s="629"/>
      <c r="W193" s="629"/>
      <c r="X193" s="629"/>
      <c r="Y193" s="629"/>
      <c r="Z193" s="629"/>
      <c r="AA193" s="629"/>
      <c r="AB193" s="630"/>
    </row>
    <row r="194" spans="1:51" ht="18" customHeight="1">
      <c r="A194" s="853"/>
      <c r="B194" s="1379"/>
      <c r="C194" s="1379"/>
      <c r="D194" s="1379"/>
      <c r="E194" s="670"/>
      <c r="F194" s="670"/>
      <c r="G194" s="670"/>
      <c r="H194" s="670"/>
      <c r="I194" s="670"/>
      <c r="J194" s="670"/>
      <c r="K194" s="1379"/>
      <c r="L194" s="1379"/>
      <c r="M194" s="1379"/>
      <c r="N194" s="862"/>
      <c r="O194" s="629"/>
      <c r="P194" s="629"/>
      <c r="Q194" s="629"/>
      <c r="R194" s="629"/>
      <c r="S194" s="629"/>
      <c r="T194" s="629"/>
      <c r="U194" s="629"/>
      <c r="V194" s="629"/>
      <c r="W194" s="629"/>
      <c r="X194" s="629"/>
      <c r="Y194" s="629"/>
      <c r="Z194" s="629"/>
      <c r="AA194" s="629"/>
      <c r="AB194" s="630"/>
    </row>
    <row r="195" spans="1:51" ht="4.95" customHeight="1">
      <c r="A195" s="853"/>
      <c r="B195" s="669"/>
      <c r="C195" s="669"/>
      <c r="D195" s="669"/>
      <c r="E195" s="669"/>
      <c r="F195" s="655"/>
      <c r="G195" s="655"/>
      <c r="H195" s="655"/>
      <c r="I195" s="655"/>
      <c r="J195" s="669"/>
      <c r="K195" s="669"/>
      <c r="L195" s="669"/>
      <c r="M195" s="669"/>
      <c r="N195" s="862"/>
      <c r="O195" s="629"/>
      <c r="P195" s="629"/>
      <c r="Q195" s="629"/>
      <c r="R195" s="629"/>
      <c r="S195" s="629"/>
      <c r="T195" s="629"/>
      <c r="U195" s="629"/>
      <c r="V195" s="629"/>
      <c r="W195" s="629"/>
      <c r="X195" s="629"/>
      <c r="Y195" s="629"/>
      <c r="Z195" s="629"/>
      <c r="AA195" s="629"/>
      <c r="AB195" s="630"/>
    </row>
    <row r="196" spans="1:51" ht="19.95" customHeight="1">
      <c r="A196" s="855" t="s">
        <v>2079</v>
      </c>
      <c r="B196" s="632"/>
      <c r="C196" s="631"/>
      <c r="D196" s="631"/>
      <c r="E196" s="631"/>
      <c r="F196" s="631"/>
      <c r="G196" s="631"/>
      <c r="H196" s="631"/>
      <c r="I196" s="631"/>
      <c r="J196" s="631"/>
      <c r="K196" s="631"/>
      <c r="L196" s="631"/>
      <c r="M196" s="631"/>
      <c r="N196" s="862"/>
      <c r="O196" s="629"/>
      <c r="P196" s="629"/>
      <c r="Q196" s="629"/>
      <c r="R196" s="629"/>
      <c r="S196" s="629"/>
      <c r="T196" s="629"/>
      <c r="U196" s="629"/>
      <c r="V196" s="629"/>
      <c r="W196" s="629"/>
      <c r="X196" s="629"/>
      <c r="Y196" s="629"/>
      <c r="Z196" s="629"/>
      <c r="AA196" s="629"/>
      <c r="AB196" s="630"/>
    </row>
    <row r="197" spans="1:51" ht="19.95" customHeight="1">
      <c r="A197" s="853"/>
      <c r="B197" s="1375" t="str">
        <f>AI197</f>
        <v>There is no good nor bad except for need. What appears bad for them seems bad to you. What seems good for them feels bad for you. The generalizing of divisive  politics easily abandons you in this painful zone of hostile differences. We cannot solve our specific problems from the level of generalizing that created them.</v>
      </c>
      <c r="C197" s="1375"/>
      <c r="D197" s="1375"/>
      <c r="E197" s="1375"/>
      <c r="F197" s="1375"/>
      <c r="G197" s="1375"/>
      <c r="H197" s="1375"/>
      <c r="I197" s="1375"/>
      <c r="J197" s="1375"/>
      <c r="K197" s="1375"/>
      <c r="L197" s="1375"/>
      <c r="M197" s="1375"/>
      <c r="N197" s="862"/>
      <c r="O197" s="629"/>
      <c r="P197" s="629"/>
      <c r="Q197" s="629"/>
      <c r="R197" s="629"/>
      <c r="S197" s="629"/>
      <c r="T197" s="629"/>
      <c r="U197" s="629"/>
      <c r="V197" s="629"/>
      <c r="W197" s="629"/>
      <c r="X197" s="629"/>
      <c r="Y197" s="629"/>
      <c r="Z197" s="629"/>
      <c r="AA197" s="629"/>
      <c r="AB197" s="630"/>
      <c r="AI197" s="459" t="str">
        <f>CONCATENATE(AK197,AL197,AM197,AN197,AO197)</f>
        <v>There is no good nor bad except for need. What appears bad for them seems bad to you. What seems good for them feels bad for you. The generalizing of divisive  politics easily abandons you in this painful zone of hostile differences. We cannot solve our specific problems from the level of generalizing that created them.</v>
      </c>
      <c r="AK197" s="465" t="s">
        <v>2090</v>
      </c>
      <c r="AL197" s="2" t="str">
        <f>D1300</f>
        <v/>
      </c>
      <c r="AM197" s="465" t="s">
        <v>2459</v>
      </c>
      <c r="AO197" s="465"/>
      <c r="AQ197" s="465"/>
      <c r="AS197" s="465"/>
      <c r="AU197" s="465"/>
      <c r="AW197" s="465"/>
      <c r="AY197" s="465"/>
    </row>
    <row r="198" spans="1:51" ht="19.95" customHeight="1">
      <c r="A198" s="853"/>
      <c r="B198" s="1375"/>
      <c r="C198" s="1375"/>
      <c r="D198" s="1375"/>
      <c r="E198" s="1375"/>
      <c r="F198" s="1375"/>
      <c r="G198" s="1375"/>
      <c r="H198" s="1375"/>
      <c r="I198" s="1375"/>
      <c r="J198" s="1375"/>
      <c r="K198" s="1375"/>
      <c r="L198" s="1375"/>
      <c r="M198" s="1375"/>
      <c r="N198" s="862"/>
      <c r="O198" s="629"/>
      <c r="P198" s="629"/>
      <c r="Q198" s="629"/>
      <c r="R198" s="629"/>
      <c r="S198" s="629"/>
      <c r="T198" s="629"/>
      <c r="U198" s="629"/>
      <c r="V198" s="629"/>
      <c r="W198" s="629"/>
      <c r="X198" s="629"/>
      <c r="Y198" s="629"/>
      <c r="Z198" s="629"/>
      <c r="AA198" s="629"/>
      <c r="AB198" s="630"/>
    </row>
    <row r="199" spans="1:51" ht="19.95" customHeight="1">
      <c r="A199" s="853"/>
      <c r="B199" s="1375"/>
      <c r="C199" s="1375"/>
      <c r="D199" s="1375"/>
      <c r="E199" s="1375"/>
      <c r="F199" s="1375"/>
      <c r="G199" s="1375"/>
      <c r="H199" s="1375"/>
      <c r="I199" s="1375"/>
      <c r="J199" s="1375"/>
      <c r="K199" s="1375"/>
      <c r="L199" s="1375"/>
      <c r="M199" s="1375"/>
      <c r="N199" s="862"/>
      <c r="O199" s="629"/>
      <c r="P199" s="629"/>
      <c r="Q199" s="629"/>
      <c r="R199" s="629"/>
      <c r="S199" s="629"/>
      <c r="T199" s="629"/>
      <c r="U199" s="629"/>
      <c r="V199" s="629"/>
      <c r="W199" s="629"/>
      <c r="X199" s="629"/>
      <c r="Y199" s="629"/>
      <c r="Z199" s="629"/>
      <c r="AA199" s="629"/>
      <c r="AB199" s="630"/>
    </row>
    <row r="200" spans="1:51" ht="30" customHeight="1">
      <c r="A200" s="853"/>
      <c r="B200" s="1375"/>
      <c r="C200" s="1375"/>
      <c r="D200" s="1375"/>
      <c r="E200" s="1375"/>
      <c r="F200" s="1375"/>
      <c r="G200" s="1375"/>
      <c r="H200" s="1375"/>
      <c r="I200" s="1375"/>
      <c r="J200" s="1375"/>
      <c r="K200" s="1375"/>
      <c r="L200" s="1375"/>
      <c r="M200" s="1375"/>
      <c r="N200" s="862"/>
      <c r="O200" s="629"/>
      <c r="P200" s="629"/>
      <c r="Q200" s="629"/>
      <c r="R200" s="629"/>
      <c r="S200" s="629"/>
      <c r="T200" s="629"/>
      <c r="U200" s="629"/>
      <c r="V200" s="629"/>
      <c r="W200" s="629"/>
      <c r="X200" s="629"/>
      <c r="Y200" s="629"/>
      <c r="Z200" s="629"/>
      <c r="AA200" s="629"/>
      <c r="AB200" s="630"/>
    </row>
    <row r="201" spans="1:51" ht="10.050000000000001" customHeight="1">
      <c r="A201" s="857"/>
      <c r="B201" s="635"/>
      <c r="C201" s="635"/>
      <c r="D201" s="635"/>
      <c r="E201" s="635"/>
      <c r="F201" s="635"/>
      <c r="G201" s="635"/>
      <c r="H201" s="635"/>
      <c r="I201" s="635"/>
      <c r="J201" s="635"/>
      <c r="K201" s="635"/>
      <c r="L201" s="635"/>
      <c r="M201" s="635"/>
      <c r="N201" s="867"/>
      <c r="O201" s="635"/>
      <c r="P201" s="635"/>
      <c r="Q201" s="635"/>
      <c r="R201" s="635"/>
      <c r="S201" s="635"/>
      <c r="T201" s="635"/>
      <c r="U201" s="635"/>
      <c r="V201" s="635"/>
      <c r="W201" s="635"/>
      <c r="X201" s="635"/>
      <c r="Y201" s="635"/>
      <c r="Z201" s="635"/>
      <c r="AA201" s="635"/>
      <c r="AB201" s="636"/>
    </row>
    <row r="202" spans="1:51" ht="30" customHeight="1">
      <c r="A202" s="854" t="s">
        <v>1148</v>
      </c>
      <c r="B202" s="884" t="s">
        <v>2080</v>
      </c>
      <c r="C202" s="884"/>
      <c r="D202" s="884"/>
      <c r="E202" s="884"/>
      <c r="F202" s="884"/>
      <c r="G202" s="884"/>
      <c r="H202" s="884"/>
      <c r="I202" s="884"/>
      <c r="J202" s="884"/>
      <c r="K202" s="884"/>
      <c r="L202" s="884"/>
      <c r="M202" s="884"/>
      <c r="N202" s="865" t="s">
        <v>1149</v>
      </c>
      <c r="O202" s="860"/>
      <c r="P202" s="647"/>
      <c r="Q202" s="647"/>
      <c r="R202" s="647"/>
      <c r="S202" s="647"/>
      <c r="T202" s="647"/>
      <c r="U202" s="647"/>
      <c r="V202" s="647"/>
      <c r="W202" s="647"/>
      <c r="X202" s="647"/>
      <c r="Y202" s="647"/>
      <c r="Z202" s="647"/>
      <c r="AA202" s="647"/>
      <c r="AB202" s="650" t="s">
        <v>1149</v>
      </c>
    </row>
    <row r="203" spans="1:51" ht="10.050000000000001" customHeight="1">
      <c r="A203" s="853"/>
      <c r="B203" s="629"/>
      <c r="C203" s="629"/>
      <c r="D203" s="629"/>
      <c r="E203" s="629"/>
      <c r="F203" s="629"/>
      <c r="G203" s="629"/>
      <c r="H203" s="629"/>
      <c r="I203" s="629"/>
      <c r="J203" s="629"/>
      <c r="K203" s="629"/>
      <c r="L203" s="629"/>
      <c r="M203" s="629"/>
      <c r="N203" s="862"/>
      <c r="O203" s="629"/>
      <c r="P203" s="629"/>
      <c r="Q203" s="629"/>
      <c r="R203" s="629"/>
      <c r="S203" s="629"/>
      <c r="T203" s="629"/>
      <c r="U203" s="629"/>
      <c r="V203" s="629"/>
      <c r="W203" s="629"/>
      <c r="X203" s="629"/>
      <c r="Y203" s="629"/>
      <c r="Z203" s="629"/>
      <c r="AA203" s="629"/>
      <c r="AB203" s="630"/>
    </row>
    <row r="204" spans="1:51" ht="19.95" customHeight="1">
      <c r="A204" s="853"/>
      <c r="B204" s="706" t="s">
        <v>2612</v>
      </c>
      <c r="C204" s="631"/>
      <c r="D204" s="631"/>
      <c r="E204" s="631"/>
      <c r="F204" s="631"/>
      <c r="G204" s="631"/>
      <c r="H204" s="631"/>
      <c r="I204" s="631"/>
      <c r="J204" s="631"/>
      <c r="K204" s="631"/>
      <c r="L204" s="631"/>
      <c r="M204" s="631"/>
      <c r="N204" s="862"/>
      <c r="O204" s="629"/>
      <c r="P204" s="629"/>
      <c r="Q204" s="629"/>
      <c r="R204" s="629"/>
      <c r="S204" s="629"/>
      <c r="T204" s="629"/>
      <c r="U204" s="629"/>
      <c r="V204" s="629"/>
      <c r="W204" s="629"/>
      <c r="X204" s="629"/>
      <c r="Y204" s="629"/>
      <c r="Z204" s="629"/>
      <c r="AA204" s="629"/>
      <c r="AB204" s="630"/>
      <c r="AK204" s="607">
        <v>1</v>
      </c>
      <c r="AL204" s="607">
        <v>2</v>
      </c>
      <c r="AM204" s="607">
        <v>3</v>
      </c>
      <c r="AN204" s="607">
        <v>4</v>
      </c>
      <c r="AO204" s="607">
        <v>5</v>
      </c>
      <c r="AP204" s="607">
        <v>6</v>
      </c>
      <c r="AQ204" s="607">
        <v>7</v>
      </c>
      <c r="AR204" s="607">
        <v>8</v>
      </c>
      <c r="AS204" s="607">
        <v>9</v>
      </c>
      <c r="AT204" s="607">
        <v>10</v>
      </c>
      <c r="AU204" s="607">
        <v>11</v>
      </c>
    </row>
    <row r="205" spans="1:51" ht="4.95" customHeight="1">
      <c r="A205" s="853"/>
      <c r="B205" s="631"/>
      <c r="C205" s="631"/>
      <c r="D205" s="631"/>
      <c r="E205" s="631"/>
      <c r="F205" s="631"/>
      <c r="G205" s="631"/>
      <c r="H205" s="631"/>
      <c r="I205" s="631"/>
      <c r="J205" s="631"/>
      <c r="K205" s="631"/>
      <c r="L205" s="631"/>
      <c r="M205" s="631"/>
      <c r="N205" s="862"/>
      <c r="O205" s="629"/>
      <c r="P205" s="629"/>
      <c r="Q205" s="629"/>
      <c r="R205" s="629"/>
      <c r="S205" s="629"/>
      <c r="T205" s="629"/>
      <c r="U205" s="629"/>
      <c r="V205" s="629"/>
      <c r="W205" s="629"/>
      <c r="X205" s="629"/>
      <c r="Y205" s="629"/>
      <c r="Z205" s="629"/>
      <c r="AA205" s="629"/>
      <c r="AB205" s="630"/>
    </row>
    <row r="206" spans="1:51" ht="19.95" customHeight="1">
      <c r="A206" s="858" t="s">
        <v>2091</v>
      </c>
      <c r="B206" s="632"/>
      <c r="C206" s="631"/>
      <c r="D206" s="631"/>
      <c r="E206" s="631"/>
      <c r="F206" s="631"/>
      <c r="G206" s="631"/>
      <c r="H206" s="631"/>
      <c r="I206" s="631"/>
      <c r="J206" s="631"/>
      <c r="K206" s="631"/>
      <c r="L206" s="631"/>
      <c r="M206" s="631"/>
      <c r="N206" s="862"/>
      <c r="O206" s="629"/>
      <c r="P206" s="629"/>
      <c r="Q206" s="629"/>
      <c r="R206" s="629"/>
      <c r="S206" s="629"/>
      <c r="T206" s="629"/>
      <c r="U206" s="629"/>
      <c r="V206" s="629"/>
      <c r="W206" s="629"/>
      <c r="X206" s="629"/>
      <c r="Y206" s="629"/>
      <c r="Z206" s="629"/>
      <c r="AA206" s="629"/>
      <c r="AB206" s="630"/>
    </row>
    <row r="207" spans="1:51" ht="19.95" customHeight="1">
      <c r="A207" s="853"/>
      <c r="B207" s="1375" t="str">
        <f>AI207</f>
        <v>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v>
      </c>
      <c r="C207" s="1375"/>
      <c r="D207" s="1375"/>
      <c r="E207" s="1375"/>
      <c r="F207" s="1375"/>
      <c r="G207" s="1375"/>
      <c r="H207" s="1375"/>
      <c r="I207" s="1375"/>
      <c r="J207" s="1375"/>
      <c r="K207" s="1375"/>
      <c r="L207" s="1375"/>
      <c r="M207" s="1375"/>
      <c r="N207" s="862"/>
      <c r="O207" s="629"/>
      <c r="P207" s="629"/>
      <c r="Q207" s="629"/>
      <c r="R207" s="629"/>
      <c r="S207" s="629"/>
      <c r="T207" s="629"/>
      <c r="U207" s="629"/>
      <c r="V207" s="629"/>
      <c r="W207" s="629"/>
      <c r="X207" s="629"/>
      <c r="Y207" s="629"/>
      <c r="Z207" s="629"/>
      <c r="AA207" s="629"/>
      <c r="AB207" s="630"/>
      <c r="AI207" s="459" t="str">
        <f>IF(OR(H$113="",H$115=""),AK208,CONCATENATE(AK207,AL207,AM207,AN207,AO207,AP207,AQ207,AR207,AS207,AT207,AU207,AV207,AW207,AX207))</f>
        <v>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v>
      </c>
      <c r="AK207" s="465" t="s">
        <v>2095</v>
      </c>
      <c r="AL207" s="2" t="str">
        <f>R1299</f>
        <v/>
      </c>
      <c r="AM207" s="465" t="s">
        <v>2096</v>
      </c>
      <c r="AN207" s="2" t="str">
        <f>S1299</f>
        <v/>
      </c>
      <c r="AO207" s="465" t="s">
        <v>2097</v>
      </c>
      <c r="AP207" s="2" t="str">
        <f>D1300</f>
        <v/>
      </c>
      <c r="AQ207" s="465" t="s">
        <v>2098</v>
      </c>
      <c r="AR207" s="2" t="str">
        <f>D1300</f>
        <v/>
      </c>
      <c r="AS207" s="465" t="s">
        <v>2099</v>
      </c>
      <c r="AT207" s="2" t="str">
        <f>D1300</f>
        <v/>
      </c>
      <c r="AU207" s="465" t="s">
        <v>979</v>
      </c>
    </row>
    <row r="208" spans="1:51" ht="19.95" customHeight="1">
      <c r="A208" s="853"/>
      <c r="B208" s="1375"/>
      <c r="C208" s="1375"/>
      <c r="D208" s="1375"/>
      <c r="E208" s="1375"/>
      <c r="F208" s="1375"/>
      <c r="G208" s="1375"/>
      <c r="H208" s="1375"/>
      <c r="I208" s="1375"/>
      <c r="J208" s="1375"/>
      <c r="K208" s="1375"/>
      <c r="L208" s="1375"/>
      <c r="M208" s="1375"/>
      <c r="N208" s="862"/>
      <c r="O208" s="629"/>
      <c r="P208" s="629"/>
      <c r="Q208" s="629"/>
      <c r="R208" s="629"/>
      <c r="S208" s="629"/>
      <c r="T208" s="629"/>
      <c r="U208" s="629"/>
      <c r="V208" s="629"/>
      <c r="W208" s="629"/>
      <c r="X208" s="629"/>
      <c r="Y208" s="629"/>
      <c r="Z208" s="629"/>
      <c r="AA208" s="629"/>
      <c r="AB208" s="630"/>
      <c r="AD208" s="651"/>
      <c r="AK208" s="734" t="s">
        <v>3175</v>
      </c>
    </row>
    <row r="209" spans="1:45" ht="19.95" customHeight="1">
      <c r="A209" s="853"/>
      <c r="B209" s="1375"/>
      <c r="C209" s="1375"/>
      <c r="D209" s="1375"/>
      <c r="E209" s="1375"/>
      <c r="F209" s="1375"/>
      <c r="G209" s="1375"/>
      <c r="H209" s="1375"/>
      <c r="I209" s="1375"/>
      <c r="J209" s="1375"/>
      <c r="K209" s="1375"/>
      <c r="L209" s="1375"/>
      <c r="M209" s="1375"/>
      <c r="N209" s="862"/>
      <c r="O209" s="629"/>
      <c r="P209" s="629"/>
      <c r="Q209" s="629"/>
      <c r="R209" s="629"/>
      <c r="S209" s="629"/>
      <c r="T209" s="629"/>
      <c r="U209" s="629"/>
      <c r="V209" s="629"/>
      <c r="W209" s="629"/>
      <c r="X209" s="629"/>
      <c r="Y209" s="629"/>
      <c r="Z209" s="629"/>
      <c r="AA209" s="629"/>
      <c r="AB209" s="630"/>
    </row>
    <row r="210" spans="1:45" ht="19.95" customHeight="1">
      <c r="A210" s="853"/>
      <c r="B210" s="1375"/>
      <c r="C210" s="1375"/>
      <c r="D210" s="1375"/>
      <c r="E210" s="1375"/>
      <c r="F210" s="1375"/>
      <c r="G210" s="1375"/>
      <c r="H210" s="1375"/>
      <c r="I210" s="1375"/>
      <c r="J210" s="1375"/>
      <c r="K210" s="1375"/>
      <c r="L210" s="1375"/>
      <c r="M210" s="1375"/>
      <c r="N210" s="862"/>
      <c r="O210" s="629"/>
      <c r="P210" s="629"/>
      <c r="Q210" s="629"/>
      <c r="R210" s="629"/>
      <c r="S210" s="629"/>
      <c r="T210" s="629"/>
      <c r="U210" s="629"/>
      <c r="V210" s="629"/>
      <c r="W210" s="629"/>
      <c r="X210" s="629"/>
      <c r="Y210" s="629"/>
      <c r="Z210" s="629"/>
      <c r="AA210" s="629"/>
      <c r="AB210" s="630"/>
    </row>
    <row r="211" spans="1:45" ht="19.95" customHeight="1">
      <c r="A211" s="853"/>
      <c r="B211" s="1375"/>
      <c r="C211" s="1375"/>
      <c r="D211" s="1375"/>
      <c r="E211" s="1375"/>
      <c r="F211" s="1375"/>
      <c r="G211" s="1375"/>
      <c r="H211" s="1375"/>
      <c r="I211" s="1375"/>
      <c r="J211" s="1375"/>
      <c r="K211" s="1375"/>
      <c r="L211" s="1375"/>
      <c r="M211" s="1375"/>
      <c r="N211" s="862"/>
      <c r="O211" s="629"/>
      <c r="P211" s="629"/>
      <c r="Q211" s="629"/>
      <c r="R211" s="629"/>
      <c r="S211" s="629"/>
      <c r="T211" s="629"/>
      <c r="U211" s="629"/>
      <c r="V211" s="629"/>
      <c r="W211" s="629"/>
      <c r="X211" s="629"/>
      <c r="Y211" s="629"/>
      <c r="Z211" s="629"/>
      <c r="AA211" s="629"/>
      <c r="AB211" s="630"/>
      <c r="AI211" s="673" t="s">
        <v>2488</v>
      </c>
    </row>
    <row r="212" spans="1:45" ht="19.95" customHeight="1">
      <c r="A212" s="853"/>
      <c r="B212" s="1375"/>
      <c r="C212" s="1375"/>
      <c r="D212" s="1375"/>
      <c r="E212" s="1375"/>
      <c r="F212" s="1375"/>
      <c r="G212" s="1375"/>
      <c r="H212" s="1375"/>
      <c r="I212" s="1375"/>
      <c r="J212" s="1375"/>
      <c r="K212" s="1375"/>
      <c r="L212" s="1375"/>
      <c r="M212" s="1375"/>
      <c r="N212" s="862"/>
      <c r="O212" s="629"/>
      <c r="P212" s="629"/>
      <c r="Q212" s="629"/>
      <c r="R212" s="629"/>
      <c r="S212" s="629"/>
      <c r="T212" s="629"/>
      <c r="U212" s="629"/>
      <c r="V212" s="629"/>
      <c r="W212" s="629"/>
      <c r="X212" s="629"/>
      <c r="Y212" s="629"/>
      <c r="Z212" s="629"/>
      <c r="AA212" s="629"/>
      <c r="AB212" s="630"/>
      <c r="AI212" s="459" t="str">
        <f>IF(OR(H$113="",H$115=""),AQ212,CONCATENATE(AK212,AL212,AM212,AN212,AO212))</f>
        <v>We must ensure everyone's needs are equally met through government oversight.</v>
      </c>
      <c r="AK212" s="465" t="s">
        <v>2490</v>
      </c>
      <c r="AL212" s="2" t="str">
        <f>$R$1300</f>
        <v/>
      </c>
      <c r="AM212" s="465" t="s">
        <v>1378</v>
      </c>
      <c r="AN212" s="2" t="str">
        <f>$AN$1300</f>
        <v/>
      </c>
      <c r="AO212" s="465" t="s">
        <v>706</v>
      </c>
      <c r="AQ212" s="734" t="s">
        <v>3177</v>
      </c>
    </row>
    <row r="213" spans="1:45" ht="19.95" customHeight="1">
      <c r="A213" s="853"/>
      <c r="B213" s="675"/>
      <c r="C213" s="675"/>
      <c r="D213" s="675"/>
      <c r="E213" s="675"/>
      <c r="F213" s="675"/>
      <c r="G213" s="675"/>
      <c r="H213" s="676"/>
      <c r="I213" s="676"/>
      <c r="J213" s="676"/>
      <c r="K213" s="676"/>
      <c r="L213" s="676"/>
      <c r="M213" s="676"/>
      <c r="N213" s="862"/>
      <c r="O213" s="629"/>
      <c r="P213" s="629"/>
      <c r="Q213" s="629"/>
      <c r="R213" s="629"/>
      <c r="S213" s="629"/>
      <c r="T213" s="629"/>
      <c r="U213" s="629"/>
      <c r="V213" s="629"/>
      <c r="W213" s="629"/>
      <c r="X213" s="629"/>
      <c r="Y213" s="629"/>
      <c r="Z213" s="629"/>
      <c r="AA213" s="629"/>
      <c r="AB213" s="630"/>
    </row>
    <row r="214" spans="1:45" ht="19.95" customHeight="1">
      <c r="A214" s="853"/>
      <c r="B214" s="675"/>
      <c r="C214" s="1376" t="str">
        <f>AI212</f>
        <v>We must ensure everyone's needs are equally met through government oversight.</v>
      </c>
      <c r="D214" s="1376"/>
      <c r="E214" s="1376"/>
      <c r="F214" s="1376"/>
      <c r="G214" s="675"/>
      <c r="H214" s="676"/>
      <c r="I214" s="1335" t="str">
        <f>AI215</f>
        <v>We must ensure everyone can freely live up to their full creative potential.</v>
      </c>
      <c r="J214" s="1335"/>
      <c r="K214" s="1335"/>
      <c r="L214" s="1335"/>
      <c r="M214" s="676"/>
      <c r="N214" s="862"/>
      <c r="O214" s="629"/>
      <c r="P214" s="629"/>
      <c r="Q214" s="629"/>
      <c r="R214" s="629"/>
      <c r="S214" s="629"/>
      <c r="T214" s="629"/>
      <c r="U214" s="629"/>
      <c r="V214" s="629"/>
      <c r="W214" s="629"/>
      <c r="X214" s="629"/>
      <c r="Y214" s="629"/>
      <c r="Z214" s="629"/>
      <c r="AA214" s="629"/>
      <c r="AB214" s="630"/>
      <c r="AI214" s="674" t="s">
        <v>2489</v>
      </c>
    </row>
    <row r="215" spans="1:45" ht="19.95" customHeight="1">
      <c r="A215" s="853"/>
      <c r="B215" s="675"/>
      <c r="C215" s="1376"/>
      <c r="D215" s="1376"/>
      <c r="E215" s="1376"/>
      <c r="F215" s="1376"/>
      <c r="G215" s="675"/>
      <c r="H215" s="676"/>
      <c r="I215" s="1335"/>
      <c r="J215" s="1335"/>
      <c r="K215" s="1335"/>
      <c r="L215" s="1335"/>
      <c r="M215" s="676"/>
      <c r="N215" s="862"/>
      <c r="O215" s="629"/>
      <c r="P215" s="629"/>
      <c r="Q215" s="629"/>
      <c r="R215" s="629"/>
      <c r="S215" s="629"/>
      <c r="T215" s="629"/>
      <c r="U215" s="629"/>
      <c r="V215" s="629"/>
      <c r="W215" s="629"/>
      <c r="X215" s="629"/>
      <c r="Y215" s="629"/>
      <c r="Z215" s="629"/>
      <c r="AA215" s="629"/>
      <c r="AB215" s="630"/>
      <c r="AI215" s="459" t="str">
        <f>IF(OR(H$113="",H$115=""),AQ215,CONCATENATE(AK215,AL215,AM215,AN215,AO215))</f>
        <v>We must ensure everyone can freely live up to their full creative potential.</v>
      </c>
      <c r="AK215" s="465" t="s">
        <v>2490</v>
      </c>
      <c r="AL215" s="2" t="str">
        <f>$S$1300</f>
        <v/>
      </c>
      <c r="AM215" s="465" t="s">
        <v>1378</v>
      </c>
      <c r="AN215" s="2" t="str">
        <f>$AO$1300</f>
        <v/>
      </c>
      <c r="AO215" s="465" t="s">
        <v>706</v>
      </c>
      <c r="AQ215" s="734" t="s">
        <v>3176</v>
      </c>
    </row>
    <row r="216" spans="1:45" ht="19.95" customHeight="1">
      <c r="A216" s="853"/>
      <c r="B216" s="675"/>
      <c r="C216" s="1376"/>
      <c r="D216" s="1376"/>
      <c r="E216" s="1376"/>
      <c r="F216" s="1376"/>
      <c r="G216" s="675"/>
      <c r="H216" s="676"/>
      <c r="I216" s="1335"/>
      <c r="J216" s="1335"/>
      <c r="K216" s="1335"/>
      <c r="L216" s="1335"/>
      <c r="M216" s="676"/>
      <c r="N216" s="862"/>
      <c r="O216" s="629"/>
      <c r="P216" s="629"/>
      <c r="Q216" s="629"/>
      <c r="R216" s="629"/>
      <c r="S216" s="629"/>
      <c r="T216" s="629"/>
      <c r="U216" s="629"/>
      <c r="V216" s="629"/>
      <c r="W216" s="629"/>
      <c r="X216" s="629"/>
      <c r="Y216" s="629"/>
      <c r="Z216" s="629"/>
      <c r="AA216" s="629"/>
      <c r="AB216" s="630"/>
    </row>
    <row r="217" spans="1:45" ht="19.95" customHeight="1">
      <c r="A217" s="853"/>
      <c r="B217" s="675"/>
      <c r="C217" s="1376"/>
      <c r="D217" s="1376"/>
      <c r="E217" s="1376"/>
      <c r="F217" s="1376"/>
      <c r="G217" s="675"/>
      <c r="H217" s="676"/>
      <c r="I217" s="1335"/>
      <c r="J217" s="1335"/>
      <c r="K217" s="1335"/>
      <c r="L217" s="1335"/>
      <c r="M217" s="676"/>
      <c r="N217" s="862"/>
      <c r="O217" s="629"/>
      <c r="P217" s="629"/>
      <c r="Q217" s="629"/>
      <c r="R217" s="629"/>
      <c r="S217" s="629"/>
      <c r="T217" s="629"/>
      <c r="U217" s="629"/>
      <c r="V217" s="629"/>
      <c r="W217" s="629"/>
      <c r="X217" s="629"/>
      <c r="Y217" s="629"/>
      <c r="Z217" s="629"/>
      <c r="AA217" s="629"/>
      <c r="AB217" s="630"/>
    </row>
    <row r="218" spans="1:45" ht="19.95" customHeight="1">
      <c r="A218" s="853"/>
      <c r="B218" s="675"/>
      <c r="C218" s="1376"/>
      <c r="D218" s="1376"/>
      <c r="E218" s="1376"/>
      <c r="F218" s="1376"/>
      <c r="G218" s="675"/>
      <c r="H218" s="676"/>
      <c r="I218" s="1335"/>
      <c r="J218" s="1335"/>
      <c r="K218" s="1335"/>
      <c r="L218" s="1335"/>
      <c r="M218" s="676"/>
      <c r="N218" s="862"/>
      <c r="O218" s="629"/>
      <c r="P218" s="629"/>
      <c r="Q218" s="629"/>
      <c r="R218" s="629"/>
      <c r="S218" s="629"/>
      <c r="T218" s="629"/>
      <c r="U218" s="629"/>
      <c r="V218" s="629"/>
      <c r="W218" s="629"/>
      <c r="X218" s="629"/>
      <c r="Y218" s="629"/>
      <c r="Z218" s="629"/>
      <c r="AA218" s="629"/>
      <c r="AB218" s="630"/>
    </row>
    <row r="219" spans="1:45" ht="19.95" customHeight="1">
      <c r="A219" s="853"/>
      <c r="B219" s="675"/>
      <c r="C219" s="1376"/>
      <c r="D219" s="1376"/>
      <c r="E219" s="1376"/>
      <c r="F219" s="1376"/>
      <c r="G219" s="675"/>
      <c r="H219" s="676"/>
      <c r="I219" s="1335"/>
      <c r="J219" s="1335"/>
      <c r="K219" s="1335"/>
      <c r="L219" s="1335"/>
      <c r="M219" s="676"/>
      <c r="N219" s="862"/>
      <c r="O219" s="629"/>
      <c r="P219" s="629"/>
      <c r="Q219" s="629"/>
      <c r="R219" s="629"/>
      <c r="S219" s="629"/>
      <c r="T219" s="629"/>
      <c r="U219" s="629"/>
      <c r="V219" s="629"/>
      <c r="W219" s="629"/>
      <c r="X219" s="629"/>
      <c r="Y219" s="629"/>
      <c r="Z219" s="629"/>
      <c r="AA219" s="629"/>
      <c r="AB219" s="630"/>
    </row>
    <row r="220" spans="1:45" ht="19.95" customHeight="1">
      <c r="A220" s="853"/>
      <c r="B220" s="675"/>
      <c r="C220" s="675"/>
      <c r="D220" s="675"/>
      <c r="E220" s="675"/>
      <c r="F220" s="675"/>
      <c r="G220" s="675"/>
      <c r="H220" s="676"/>
      <c r="I220" s="676"/>
      <c r="J220" s="676"/>
      <c r="K220" s="676"/>
      <c r="L220" s="676"/>
      <c r="M220" s="676"/>
      <c r="N220" s="862"/>
      <c r="O220" s="629"/>
      <c r="P220" s="629"/>
      <c r="Q220" s="629"/>
      <c r="R220" s="629"/>
      <c r="S220" s="629"/>
      <c r="T220" s="629"/>
      <c r="U220" s="629"/>
      <c r="V220" s="629"/>
      <c r="W220" s="629"/>
      <c r="X220" s="629"/>
      <c r="Y220" s="629"/>
      <c r="Z220" s="629"/>
      <c r="AA220" s="629"/>
      <c r="AB220" s="630"/>
    </row>
    <row r="221" spans="1:45" ht="4.95" customHeight="1">
      <c r="A221" s="853"/>
      <c r="B221" s="629"/>
      <c r="C221" s="629"/>
      <c r="D221" s="629"/>
      <c r="E221" s="629"/>
      <c r="F221" s="629"/>
      <c r="G221" s="629"/>
      <c r="H221" s="629"/>
      <c r="I221" s="629"/>
      <c r="J221" s="629"/>
      <c r="K221" s="629"/>
      <c r="L221" s="629"/>
      <c r="M221" s="629"/>
      <c r="N221" s="862"/>
      <c r="O221" s="629"/>
      <c r="P221" s="629"/>
      <c r="Q221" s="629"/>
      <c r="R221" s="629"/>
      <c r="S221" s="629"/>
      <c r="T221" s="629"/>
      <c r="U221" s="629"/>
      <c r="V221" s="629"/>
      <c r="W221" s="629"/>
      <c r="X221" s="629"/>
      <c r="Y221" s="629"/>
      <c r="Z221" s="629"/>
      <c r="AA221" s="629"/>
      <c r="AB221" s="630"/>
    </row>
    <row r="222" spans="1:45" ht="19.95" customHeight="1">
      <c r="A222" s="858" t="s">
        <v>2092</v>
      </c>
      <c r="B222" s="632"/>
      <c r="C222" s="629"/>
      <c r="D222" s="629"/>
      <c r="E222" s="629"/>
      <c r="F222" s="629"/>
      <c r="G222" s="629"/>
      <c r="H222" s="629"/>
      <c r="I222" s="629"/>
      <c r="J222" s="629"/>
      <c r="K222" s="629"/>
      <c r="L222" s="629"/>
      <c r="M222" s="629"/>
      <c r="N222" s="862"/>
      <c r="O222" s="629"/>
      <c r="P222" s="629"/>
      <c r="Q222" s="629"/>
      <c r="R222" s="629"/>
      <c r="S222" s="629"/>
      <c r="T222" s="629"/>
      <c r="U222" s="629"/>
      <c r="V222" s="629"/>
      <c r="W222" s="629"/>
      <c r="X222" s="629"/>
      <c r="Y222" s="629"/>
      <c r="Z222" s="629"/>
      <c r="AA222" s="629"/>
      <c r="AB222" s="630"/>
    </row>
    <row r="223" spans="1:45" ht="19.95" customHeight="1">
      <c r="A223" s="853"/>
      <c r="B223" s="1375" t="str">
        <f>AI223</f>
        <v>In the absence of a bridge for mutual respect, each side entertains extreme positions. You or someone on your side likely insists we go to one extreme. That easily provokes extreme elements on the other side. They insist we go in the opposite extreme, to serve their prioritized needs.</v>
      </c>
      <c r="C223" s="1375"/>
      <c r="D223" s="1375"/>
      <c r="E223" s="1375"/>
      <c r="F223" s="1375"/>
      <c r="G223" s="1375"/>
      <c r="H223" s="1375"/>
      <c r="I223" s="1375"/>
      <c r="J223" s="1375"/>
      <c r="K223" s="1375"/>
      <c r="L223" s="1375"/>
      <c r="M223" s="1375"/>
      <c r="N223" s="862"/>
      <c r="O223" s="629"/>
      <c r="P223" s="629"/>
      <c r="Q223" s="629"/>
      <c r="R223" s="629"/>
      <c r="S223" s="629"/>
      <c r="T223" s="629"/>
      <c r="U223" s="629"/>
      <c r="V223" s="629"/>
      <c r="W223" s="629"/>
      <c r="X223" s="629"/>
      <c r="Y223" s="629"/>
      <c r="Z223" s="629"/>
      <c r="AA223" s="629"/>
      <c r="AB223" s="630"/>
      <c r="AI223" s="459" t="str">
        <f>IF(OR(H$113="",H$115=""),AK224,CONCATENATE(AK223,AL223,AM223,AN223,AO223,AP223,AQ223,AR223,AS223,AT223,AU223,AV223,AW223,AX223))</f>
        <v>In the absence of a bridge for mutual respect, each side entertains extreme positions. You or someone on your side likely insists we go to one extreme. That easily provokes extreme elements on the other side. They insist we go in the opposite extreme, to serve their prioritized needs.</v>
      </c>
      <c r="AK223" s="465" t="s">
        <v>2100</v>
      </c>
      <c r="AL223" s="2" t="str">
        <f>D1300</f>
        <v/>
      </c>
      <c r="AM223" s="465" t="s">
        <v>2608</v>
      </c>
      <c r="AN223" s="2" t="str">
        <f>AN1299</f>
        <v/>
      </c>
      <c r="AO223" s="465" t="s">
        <v>2101</v>
      </c>
      <c r="AP223" s="2" t="str">
        <f>AO1299</f>
        <v/>
      </c>
      <c r="AQ223" s="465" t="s">
        <v>2102</v>
      </c>
      <c r="AR223" s="2" t="str">
        <f>D1300</f>
        <v/>
      </c>
      <c r="AS223" s="465" t="s">
        <v>1031</v>
      </c>
    </row>
    <row r="224" spans="1:45" ht="19.95" customHeight="1">
      <c r="A224" s="853"/>
      <c r="B224" s="1375"/>
      <c r="C224" s="1375"/>
      <c r="D224" s="1375"/>
      <c r="E224" s="1375"/>
      <c r="F224" s="1375"/>
      <c r="G224" s="1375"/>
      <c r="H224" s="1375"/>
      <c r="I224" s="1375"/>
      <c r="J224" s="1375"/>
      <c r="K224" s="1375"/>
      <c r="L224" s="1375"/>
      <c r="M224" s="1375"/>
      <c r="N224" s="862"/>
      <c r="O224" s="629"/>
      <c r="P224" s="629"/>
      <c r="Q224" s="629"/>
      <c r="R224" s="629"/>
      <c r="S224" s="629"/>
      <c r="T224" s="629"/>
      <c r="U224" s="629"/>
      <c r="V224" s="629"/>
      <c r="W224" s="629"/>
      <c r="X224" s="629"/>
      <c r="Y224" s="629"/>
      <c r="Z224" s="629"/>
      <c r="AA224" s="629"/>
      <c r="AB224" s="630"/>
      <c r="AK224" s="734" t="s">
        <v>3178</v>
      </c>
    </row>
    <row r="225" spans="1:45" ht="19.95" customHeight="1">
      <c r="A225" s="853"/>
      <c r="B225" s="1375"/>
      <c r="C225" s="1375"/>
      <c r="D225" s="1375"/>
      <c r="E225" s="1375"/>
      <c r="F225" s="1375"/>
      <c r="G225" s="1375"/>
      <c r="H225" s="1375"/>
      <c r="I225" s="1375"/>
      <c r="J225" s="1375"/>
      <c r="K225" s="1375"/>
      <c r="L225" s="1375"/>
      <c r="M225" s="1375"/>
      <c r="N225" s="862"/>
      <c r="O225" s="629"/>
      <c r="P225" s="629"/>
      <c r="Q225" s="629"/>
      <c r="R225" s="629"/>
      <c r="S225" s="629"/>
      <c r="T225" s="629"/>
      <c r="U225" s="629"/>
      <c r="V225" s="629"/>
      <c r="W225" s="629"/>
      <c r="X225" s="629"/>
      <c r="Y225" s="629"/>
      <c r="Z225" s="629"/>
      <c r="AA225" s="629"/>
      <c r="AB225" s="630"/>
    </row>
    <row r="226" spans="1:45" ht="19.95" customHeight="1">
      <c r="A226" s="853"/>
      <c r="B226" s="1375"/>
      <c r="C226" s="1375"/>
      <c r="D226" s="1375"/>
      <c r="E226" s="1375"/>
      <c r="F226" s="1375"/>
      <c r="G226" s="1375"/>
      <c r="H226" s="1375"/>
      <c r="I226" s="1375"/>
      <c r="J226" s="1375"/>
      <c r="K226" s="1375"/>
      <c r="L226" s="1375"/>
      <c r="M226" s="1375"/>
      <c r="N226" s="862"/>
      <c r="O226" s="629"/>
      <c r="P226" s="629"/>
      <c r="Q226" s="629"/>
      <c r="R226" s="629"/>
      <c r="S226" s="629"/>
      <c r="T226" s="629"/>
      <c r="U226" s="629"/>
      <c r="V226" s="629"/>
      <c r="W226" s="629"/>
      <c r="X226" s="629"/>
      <c r="Y226" s="629"/>
      <c r="Z226" s="629"/>
      <c r="AA226" s="629"/>
      <c r="AB226" s="630"/>
      <c r="AI226" s="37" t="str">
        <f>CONCATENATE(AK226,AL226,AM226,AN226)</f>
        <v/>
      </c>
    </row>
    <row r="227" spans="1:45" ht="19.95" customHeight="1">
      <c r="A227" s="853"/>
      <c r="B227" s="1375"/>
      <c r="C227" s="1375"/>
      <c r="D227" s="1375"/>
      <c r="E227" s="1375"/>
      <c r="F227" s="1375"/>
      <c r="G227" s="1375"/>
      <c r="H227" s="1375"/>
      <c r="I227" s="1375"/>
      <c r="J227" s="1375"/>
      <c r="K227" s="1375"/>
      <c r="L227" s="1375"/>
      <c r="M227" s="1375"/>
      <c r="N227" s="862"/>
      <c r="O227" s="629"/>
      <c r="P227" s="629"/>
      <c r="Q227" s="629"/>
      <c r="R227" s="629"/>
      <c r="S227" s="629"/>
      <c r="T227" s="629"/>
      <c r="U227" s="629"/>
      <c r="V227" s="629"/>
      <c r="W227" s="629"/>
      <c r="X227" s="629"/>
      <c r="Y227" s="629"/>
      <c r="Z227" s="629"/>
      <c r="AA227" s="629"/>
      <c r="AB227" s="630"/>
    </row>
    <row r="228" spans="1:45" ht="4.95" customHeight="1">
      <c r="A228" s="853"/>
      <c r="B228" s="629"/>
      <c r="C228" s="629"/>
      <c r="D228" s="629"/>
      <c r="E228" s="629"/>
      <c r="F228" s="629"/>
      <c r="G228" s="629"/>
      <c r="H228" s="629"/>
      <c r="I228" s="629"/>
      <c r="J228" s="629"/>
      <c r="K228" s="629"/>
      <c r="L228" s="629"/>
      <c r="M228" s="629"/>
      <c r="N228" s="862"/>
      <c r="O228" s="629"/>
      <c r="P228" s="629"/>
      <c r="Q228" s="629"/>
      <c r="R228" s="629"/>
      <c r="S228" s="629"/>
      <c r="T228" s="629"/>
      <c r="U228" s="629"/>
      <c r="V228" s="629"/>
      <c r="W228" s="629"/>
      <c r="X228" s="629"/>
      <c r="Y228" s="629"/>
      <c r="Z228" s="629"/>
      <c r="AA228" s="629"/>
      <c r="AB228" s="630"/>
    </row>
    <row r="229" spans="1:45" ht="19.95" customHeight="1">
      <c r="A229" s="858" t="s">
        <v>2093</v>
      </c>
      <c r="B229" s="632"/>
      <c r="C229" s="629"/>
      <c r="D229" s="629"/>
      <c r="E229" s="629"/>
      <c r="F229" s="629"/>
      <c r="G229" s="629"/>
      <c r="H229" s="629"/>
      <c r="I229" s="629"/>
      <c r="J229" s="629"/>
      <c r="K229" s="629"/>
      <c r="L229" s="629"/>
      <c r="M229" s="629"/>
      <c r="N229" s="862"/>
      <c r="O229" s="629"/>
      <c r="P229" s="629"/>
      <c r="Q229" s="629"/>
      <c r="R229" s="629"/>
      <c r="S229" s="629"/>
      <c r="T229" s="629"/>
      <c r="U229" s="629"/>
      <c r="V229" s="629"/>
      <c r="W229" s="629"/>
      <c r="X229" s="629"/>
      <c r="Y229" s="629"/>
      <c r="Z229" s="629"/>
      <c r="AA229" s="629"/>
      <c r="AB229" s="630"/>
    </row>
    <row r="230" spans="1:45" ht="19.95" customHeight="1">
      <c r="A230" s="853"/>
      <c r="B230" s="1410" t="str">
        <f>AJ232</f>
        <v>'right-winger bigot'</v>
      </c>
      <c r="C230" s="656"/>
      <c r="D230" s="1375" t="str">
        <f>AI230</f>
        <v>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v>
      </c>
      <c r="E230" s="1375"/>
      <c r="F230" s="1375"/>
      <c r="G230" s="1375"/>
      <c r="H230" s="1375"/>
      <c r="I230" s="1375"/>
      <c r="J230" s="1375"/>
      <c r="K230" s="1375"/>
      <c r="L230" s="656"/>
      <c r="M230" s="1411" t="str">
        <f>AJ234</f>
        <v>'left-winger libtard'</v>
      </c>
      <c r="N230" s="862"/>
      <c r="O230" s="629"/>
      <c r="P230" s="629"/>
      <c r="Q230" s="629"/>
      <c r="R230" s="629"/>
      <c r="S230" s="629"/>
      <c r="T230" s="629"/>
      <c r="U230" s="629"/>
      <c r="V230" s="629"/>
      <c r="W230" s="629"/>
      <c r="X230" s="629"/>
      <c r="Y230" s="629"/>
      <c r="Z230" s="629"/>
      <c r="AA230" s="629"/>
      <c r="AB230" s="630"/>
      <c r="AI230" s="459" t="str">
        <f>IF(OR(H$113="",H$115=""),AK231,CONCATENATE(AK230,AL230,AM230,AN230,AO230,AP230,AQ230,AR230,AS230,AT230,AU230,AV230,AW230,AX230))</f>
        <v>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v>
      </c>
      <c r="AK230" s="465" t="s">
        <v>2108</v>
      </c>
      <c r="AL230" s="2" t="str">
        <f>$AF$1299</f>
        <v/>
      </c>
      <c r="AM230" s="465" t="s">
        <v>2103</v>
      </c>
      <c r="AN230" s="2" t="str">
        <f>$AG$1299</f>
        <v/>
      </c>
      <c r="AO230" s="465" t="s">
        <v>2597</v>
      </c>
      <c r="AP230" s="2" t="str">
        <f>$D$1300</f>
        <v/>
      </c>
      <c r="AQ230" s="465" t="s">
        <v>2598</v>
      </c>
      <c r="AS230" s="465"/>
    </row>
    <row r="231" spans="1:45" ht="19.95" customHeight="1">
      <c r="A231" s="853"/>
      <c r="B231" s="1410"/>
      <c r="C231" s="656"/>
      <c r="D231" s="1375"/>
      <c r="E231" s="1375"/>
      <c r="F231" s="1375"/>
      <c r="G231" s="1375"/>
      <c r="H231" s="1375"/>
      <c r="I231" s="1375"/>
      <c r="J231" s="1375"/>
      <c r="K231" s="1375"/>
      <c r="L231" s="656"/>
      <c r="M231" s="1411"/>
      <c r="N231" s="862"/>
      <c r="O231" s="629"/>
      <c r="P231" s="629"/>
      <c r="Q231" s="629"/>
      <c r="R231" s="629"/>
      <c r="S231" s="629"/>
      <c r="T231" s="629"/>
      <c r="U231" s="629"/>
      <c r="V231" s="629"/>
      <c r="W231" s="629"/>
      <c r="X231" s="629"/>
      <c r="Y231" s="629"/>
      <c r="Z231" s="629"/>
      <c r="AA231" s="629"/>
      <c r="AB231" s="630"/>
      <c r="AK231" s="734" t="s">
        <v>3179</v>
      </c>
      <c r="AQ231" s="465" t="s">
        <v>2104</v>
      </c>
      <c r="AS231" s="465" t="s">
        <v>2596</v>
      </c>
    </row>
    <row r="232" spans="1:45" ht="19.95" customHeight="1">
      <c r="A232" s="853"/>
      <c r="B232" s="1410"/>
      <c r="C232" s="656"/>
      <c r="D232" s="1375"/>
      <c r="E232" s="1375"/>
      <c r="F232" s="1375"/>
      <c r="G232" s="1375"/>
      <c r="H232" s="1375"/>
      <c r="I232" s="1375"/>
      <c r="J232" s="1375"/>
      <c r="K232" s="1375"/>
      <c r="L232" s="656"/>
      <c r="M232" s="1411"/>
      <c r="N232" s="862"/>
      <c r="O232" s="629"/>
      <c r="P232" s="629"/>
      <c r="Q232" s="629"/>
      <c r="R232" s="629"/>
      <c r="S232" s="629"/>
      <c r="T232" s="629"/>
      <c r="U232" s="629"/>
      <c r="V232" s="629"/>
      <c r="W232" s="629"/>
      <c r="X232" s="629"/>
      <c r="Y232" s="629"/>
      <c r="Z232" s="629"/>
      <c r="AA232" s="629"/>
      <c r="AB232" s="630"/>
      <c r="AI232" s="673" t="s">
        <v>2488</v>
      </c>
      <c r="AJ232" s="2" t="str">
        <f>IF(AI233="","'right-winger bigot'",AI233)</f>
        <v>'right-winger bigot'</v>
      </c>
    </row>
    <row r="233" spans="1:45" ht="19.95" customHeight="1">
      <c r="A233" s="853"/>
      <c r="B233" s="1410"/>
      <c r="C233" s="656"/>
      <c r="D233" s="1375"/>
      <c r="E233" s="1375"/>
      <c r="F233" s="1375"/>
      <c r="G233" s="1375"/>
      <c r="H233" s="1375"/>
      <c r="I233" s="1375"/>
      <c r="J233" s="1375"/>
      <c r="K233" s="1375"/>
      <c r="L233" s="656"/>
      <c r="M233" s="1411"/>
      <c r="N233" s="862"/>
      <c r="O233" s="629"/>
      <c r="P233" s="629"/>
      <c r="Q233" s="629"/>
      <c r="R233" s="629"/>
      <c r="S233" s="629"/>
      <c r="T233" s="629"/>
      <c r="U233" s="629"/>
      <c r="V233" s="629"/>
      <c r="W233" s="629"/>
      <c r="X233" s="629"/>
      <c r="Y233" s="629"/>
      <c r="Z233" s="629"/>
      <c r="AA233" s="629"/>
      <c r="AB233" s="630"/>
      <c r="AI233" s="37" t="str">
        <f>AF1300</f>
        <v/>
      </c>
      <c r="AK233" s="465" t="s">
        <v>2490</v>
      </c>
      <c r="AL233" s="2">
        <f>$A$1300</f>
        <v>0</v>
      </c>
      <c r="AM233" s="465" t="s">
        <v>1378</v>
      </c>
      <c r="AN233" s="2">
        <f>$A$1300</f>
        <v>0</v>
      </c>
      <c r="AO233" s="465" t="s">
        <v>706</v>
      </c>
    </row>
    <row r="234" spans="1:45" ht="19.95" customHeight="1">
      <c r="A234" s="853"/>
      <c r="B234" s="1410"/>
      <c r="C234" s="656"/>
      <c r="D234" s="1375"/>
      <c r="E234" s="1375"/>
      <c r="F234" s="1375"/>
      <c r="G234" s="1375"/>
      <c r="H234" s="1375"/>
      <c r="I234" s="1375"/>
      <c r="J234" s="1375"/>
      <c r="K234" s="1375"/>
      <c r="L234" s="656"/>
      <c r="M234" s="1411"/>
      <c r="N234" s="862"/>
      <c r="O234" s="629"/>
      <c r="P234" s="629"/>
      <c r="Q234" s="629"/>
      <c r="R234" s="629"/>
      <c r="S234" s="629"/>
      <c r="T234" s="629"/>
      <c r="U234" s="629"/>
      <c r="V234" s="629"/>
      <c r="W234" s="629"/>
      <c r="X234" s="629"/>
      <c r="Y234" s="629"/>
      <c r="Z234" s="629"/>
      <c r="AA234" s="629"/>
      <c r="AB234" s="630"/>
      <c r="AI234" s="674" t="s">
        <v>2489</v>
      </c>
      <c r="AJ234" s="2" t="str">
        <f>IF(AI235="","'left-winger libtard'",AI235)</f>
        <v>'left-winger libtard'</v>
      </c>
    </row>
    <row r="235" spans="1:45" ht="19.95" customHeight="1">
      <c r="A235" s="853"/>
      <c r="B235" s="1410"/>
      <c r="C235" s="656"/>
      <c r="D235" s="1375"/>
      <c r="E235" s="1375"/>
      <c r="F235" s="1375"/>
      <c r="G235" s="1375"/>
      <c r="H235" s="1375"/>
      <c r="I235" s="1375"/>
      <c r="J235" s="1375"/>
      <c r="K235" s="1375"/>
      <c r="L235" s="656"/>
      <c r="M235" s="1411"/>
      <c r="N235" s="862"/>
      <c r="O235" s="629"/>
      <c r="P235" s="629"/>
      <c r="Q235" s="629"/>
      <c r="R235" s="629"/>
      <c r="S235" s="629"/>
      <c r="T235" s="629"/>
      <c r="U235" s="629"/>
      <c r="V235" s="629"/>
      <c r="W235" s="629"/>
      <c r="X235" s="629"/>
      <c r="Y235" s="629"/>
      <c r="Z235" s="629"/>
      <c r="AA235" s="629"/>
      <c r="AB235" s="630"/>
      <c r="AI235" s="37" t="str">
        <f>AG1300</f>
        <v/>
      </c>
      <c r="AK235" s="465" t="s">
        <v>2490</v>
      </c>
      <c r="AL235" s="2">
        <f>$A$1300</f>
        <v>0</v>
      </c>
      <c r="AM235" s="465" t="s">
        <v>1378</v>
      </c>
      <c r="AN235" s="2">
        <f>$A$1300</f>
        <v>0</v>
      </c>
      <c r="AO235" s="465" t="s">
        <v>706</v>
      </c>
    </row>
    <row r="236" spans="1:45" ht="19.95" customHeight="1">
      <c r="A236" s="853"/>
      <c r="B236" s="656"/>
      <c r="C236" s="656"/>
      <c r="D236" s="1375"/>
      <c r="E236" s="1375"/>
      <c r="F236" s="1375"/>
      <c r="G236" s="1375"/>
      <c r="H236" s="1375"/>
      <c r="I236" s="1375"/>
      <c r="J236" s="1375"/>
      <c r="K236" s="1375"/>
      <c r="L236" s="656"/>
      <c r="M236" s="656"/>
      <c r="N236" s="862"/>
      <c r="O236" s="629"/>
      <c r="P236" s="629"/>
      <c r="Q236" s="629"/>
      <c r="R236" s="629"/>
      <c r="S236" s="629"/>
      <c r="T236" s="629"/>
      <c r="U236" s="629"/>
      <c r="V236" s="629"/>
      <c r="W236" s="629"/>
      <c r="X236" s="629"/>
      <c r="Y236" s="629"/>
      <c r="Z236" s="629"/>
      <c r="AA236" s="629"/>
      <c r="AB236" s="630"/>
    </row>
    <row r="237" spans="1:45" ht="4.95" customHeight="1">
      <c r="A237" s="853"/>
      <c r="B237" s="632"/>
      <c r="C237" s="656"/>
      <c r="D237" s="656"/>
      <c r="E237" s="656"/>
      <c r="F237" s="656"/>
      <c r="G237" s="656"/>
      <c r="H237" s="656"/>
      <c r="I237" s="656"/>
      <c r="J237" s="656"/>
      <c r="K237" s="656"/>
      <c r="L237" s="656"/>
      <c r="M237" s="633"/>
      <c r="N237" s="862"/>
      <c r="O237" s="629"/>
      <c r="P237" s="629"/>
      <c r="Q237" s="629"/>
      <c r="R237" s="629"/>
      <c r="S237" s="629"/>
      <c r="T237" s="629"/>
      <c r="U237" s="629"/>
      <c r="V237" s="629"/>
      <c r="W237" s="629"/>
      <c r="X237" s="629"/>
      <c r="Y237" s="629"/>
      <c r="Z237" s="629"/>
      <c r="AA237" s="629"/>
      <c r="AB237" s="630"/>
    </row>
    <row r="238" spans="1:45" ht="10.050000000000001" customHeight="1">
      <c r="A238" s="857"/>
      <c r="B238" s="635"/>
      <c r="C238" s="635"/>
      <c r="D238" s="635"/>
      <c r="E238" s="635"/>
      <c r="F238" s="635"/>
      <c r="G238" s="635"/>
      <c r="H238" s="635"/>
      <c r="I238" s="635"/>
      <c r="J238" s="635"/>
      <c r="K238" s="635"/>
      <c r="L238" s="635"/>
      <c r="M238" s="635"/>
      <c r="N238" s="867"/>
      <c r="O238" s="635"/>
      <c r="P238" s="635"/>
      <c r="Q238" s="635"/>
      <c r="R238" s="635"/>
      <c r="S238" s="635"/>
      <c r="T238" s="635"/>
      <c r="U238" s="635"/>
      <c r="V238" s="635"/>
      <c r="W238" s="635"/>
      <c r="X238" s="635"/>
      <c r="Y238" s="635"/>
      <c r="Z238" s="635"/>
      <c r="AA238" s="635"/>
      <c r="AB238" s="636"/>
    </row>
    <row r="239" spans="1:45" ht="30" customHeight="1">
      <c r="A239" s="854" t="s">
        <v>1148</v>
      </c>
      <c r="B239" s="884" t="s">
        <v>3155</v>
      </c>
      <c r="C239" s="884"/>
      <c r="D239" s="884"/>
      <c r="E239" s="884"/>
      <c r="F239" s="884"/>
      <c r="G239" s="884"/>
      <c r="H239" s="884"/>
      <c r="I239" s="884"/>
      <c r="J239" s="884"/>
      <c r="K239" s="884"/>
      <c r="L239" s="884"/>
      <c r="M239" s="884"/>
      <c r="N239" s="865" t="s">
        <v>1149</v>
      </c>
      <c r="O239" s="860"/>
      <c r="P239" s="647"/>
      <c r="Q239" s="647"/>
      <c r="R239" s="647"/>
      <c r="S239" s="647"/>
      <c r="T239" s="647"/>
      <c r="U239" s="647"/>
      <c r="V239" s="647"/>
      <c r="W239" s="647"/>
      <c r="X239" s="647"/>
      <c r="Y239" s="647"/>
      <c r="Z239" s="647"/>
      <c r="AA239" s="647"/>
      <c r="AB239" s="650" t="s">
        <v>1149</v>
      </c>
      <c r="AI239" s="459" t="str">
        <f>CONCATENATE(AK239,AL239,AM239)</f>
        <v/>
      </c>
      <c r="AK239" s="465"/>
      <c r="AL239" s="2" t="str">
        <f>IF(H210="","",CONCATENATE(D1398," "))</f>
        <v/>
      </c>
      <c r="AM239" s="465"/>
    </row>
    <row r="240" spans="1:45" ht="10.050000000000001" customHeight="1">
      <c r="A240" s="853"/>
      <c r="B240" s="629"/>
      <c r="C240" s="629"/>
      <c r="D240" s="629"/>
      <c r="E240" s="629"/>
      <c r="F240" s="629"/>
      <c r="G240" s="629"/>
      <c r="H240" s="629"/>
      <c r="I240" s="629"/>
      <c r="J240" s="629"/>
      <c r="K240" s="629"/>
      <c r="L240" s="629"/>
      <c r="M240" s="629"/>
      <c r="N240" s="862"/>
      <c r="O240" s="629"/>
      <c r="P240" s="629"/>
      <c r="Q240" s="629"/>
      <c r="R240" s="629"/>
      <c r="S240" s="629"/>
      <c r="T240" s="629"/>
      <c r="U240" s="629"/>
      <c r="V240" s="629"/>
      <c r="W240" s="629"/>
      <c r="X240" s="629"/>
      <c r="Y240" s="629"/>
      <c r="Z240" s="629"/>
      <c r="AA240" s="629"/>
      <c r="AB240" s="630"/>
    </row>
    <row r="241" spans="1:47" ht="19.95" customHeight="1">
      <c r="A241" s="853"/>
      <c r="B241" s="706" t="s">
        <v>2613</v>
      </c>
      <c r="C241" s="631"/>
      <c r="D241" s="631"/>
      <c r="E241" s="631"/>
      <c r="F241" s="631"/>
      <c r="G241" s="631"/>
      <c r="H241" s="631"/>
      <c r="I241" s="631"/>
      <c r="J241" s="631"/>
      <c r="K241" s="631"/>
      <c r="L241" s="631"/>
      <c r="M241" s="631"/>
      <c r="N241" s="862"/>
      <c r="O241" s="629"/>
      <c r="P241" s="629"/>
      <c r="Q241" s="629"/>
      <c r="R241" s="629"/>
      <c r="S241" s="629"/>
      <c r="T241" s="629"/>
      <c r="U241" s="629"/>
      <c r="V241" s="629"/>
      <c r="W241" s="629"/>
      <c r="X241" s="629"/>
      <c r="Y241" s="629"/>
      <c r="Z241" s="629"/>
      <c r="AA241" s="629"/>
      <c r="AB241" s="630"/>
      <c r="AK241" s="607">
        <v>1</v>
      </c>
      <c r="AL241" s="607">
        <v>2</v>
      </c>
      <c r="AM241" s="607">
        <v>3</v>
      </c>
      <c r="AN241" s="607">
        <v>4</v>
      </c>
      <c r="AO241" s="607">
        <v>5</v>
      </c>
      <c r="AP241" s="607">
        <v>6</v>
      </c>
      <c r="AQ241" s="607">
        <v>7</v>
      </c>
      <c r="AR241" s="607">
        <v>8</v>
      </c>
      <c r="AS241" s="607">
        <v>9</v>
      </c>
      <c r="AT241" s="607">
        <v>10</v>
      </c>
      <c r="AU241" s="607">
        <v>11</v>
      </c>
    </row>
    <row r="242" spans="1:47" ht="4.95" customHeight="1">
      <c r="A242" s="853"/>
      <c r="B242" s="631"/>
      <c r="C242" s="631"/>
      <c r="D242" s="631"/>
      <c r="E242" s="631"/>
      <c r="F242" s="631"/>
      <c r="G242" s="631"/>
      <c r="H242" s="631"/>
      <c r="I242" s="631"/>
      <c r="J242" s="631"/>
      <c r="K242" s="631"/>
      <c r="L242" s="631"/>
      <c r="M242" s="631"/>
      <c r="N242" s="862"/>
      <c r="O242" s="629"/>
      <c r="P242" s="629"/>
      <c r="Q242" s="629"/>
      <c r="R242" s="629"/>
      <c r="S242" s="629"/>
      <c r="T242" s="629"/>
      <c r="U242" s="629"/>
      <c r="V242" s="629"/>
      <c r="W242" s="629"/>
      <c r="X242" s="629"/>
      <c r="Y242" s="629"/>
      <c r="Z242" s="629"/>
      <c r="AA242" s="629"/>
      <c r="AB242" s="630"/>
    </row>
    <row r="243" spans="1:47" ht="19.95" customHeight="1">
      <c r="A243" s="858" t="s">
        <v>2094</v>
      </c>
      <c r="B243" s="632"/>
      <c r="C243" s="633"/>
      <c r="D243" s="633"/>
      <c r="E243" s="633"/>
      <c r="F243" s="633"/>
      <c r="G243" s="633"/>
      <c r="H243" s="633"/>
      <c r="I243" s="633"/>
      <c r="J243" s="633"/>
      <c r="K243" s="633"/>
      <c r="L243" s="633"/>
      <c r="M243" s="633"/>
      <c r="N243" s="862"/>
      <c r="O243" s="629"/>
      <c r="P243" s="629"/>
      <c r="Q243" s="629"/>
      <c r="R243" s="629"/>
      <c r="S243" s="629"/>
      <c r="T243" s="629"/>
      <c r="U243" s="629"/>
      <c r="V243" s="629"/>
      <c r="W243" s="629"/>
      <c r="X243" s="629"/>
      <c r="Y243" s="629"/>
      <c r="Z243" s="629"/>
      <c r="AA243" s="629"/>
      <c r="AB243" s="630"/>
    </row>
    <row r="244" spans="1:47" ht="19.95" customHeight="1">
      <c r="A244" s="853"/>
      <c r="B244" s="1375" t="str">
        <f>AI244</f>
        <v>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v>
      </c>
      <c r="C244" s="1375"/>
      <c r="D244" s="1375"/>
      <c r="E244" s="1375"/>
      <c r="F244" s="1375"/>
      <c r="G244" s="1375"/>
      <c r="H244" s="1375"/>
      <c r="I244" s="1375"/>
      <c r="J244" s="1375"/>
      <c r="K244" s="1375"/>
      <c r="L244" s="1375"/>
      <c r="M244" s="1375"/>
      <c r="N244" s="862"/>
      <c r="O244" s="629"/>
      <c r="P244" s="629"/>
      <c r="Q244" s="629"/>
      <c r="R244" s="629"/>
      <c r="S244" s="629"/>
      <c r="T244" s="629"/>
      <c r="U244" s="629"/>
      <c r="V244" s="629"/>
      <c r="W244" s="629"/>
      <c r="X244" s="629"/>
      <c r="Y244" s="629"/>
      <c r="Z244" s="629"/>
      <c r="AA244" s="629"/>
      <c r="AB244" s="630"/>
      <c r="AI244" s="459" t="str">
        <f>IF(OR(H$113="",H$115=""),AK245,CONCATENATE(AK244,AL244,AM244,AN244,AO244,AP244,AQ244,AR244,AS244,AT244,AU244,AV244,AW244,AX244))</f>
        <v>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v>
      </c>
      <c r="AK244" s="465" t="s">
        <v>2585</v>
      </c>
      <c r="AL244" s="2" t="str">
        <f>$T$1299</f>
        <v/>
      </c>
      <c r="AM244" s="465" t="s">
        <v>2105</v>
      </c>
      <c r="AN244" s="2" t="str">
        <f>$V$1299</f>
        <v/>
      </c>
      <c r="AO244" s="465" t="s">
        <v>2590</v>
      </c>
      <c r="AP244" s="2" t="str">
        <f>$U$1299</f>
        <v/>
      </c>
      <c r="AQ244" s="465" t="s">
        <v>2106</v>
      </c>
      <c r="AR244" s="2" t="str">
        <f>$W$1299</f>
        <v/>
      </c>
      <c r="AS244" s="465" t="s">
        <v>2595</v>
      </c>
      <c r="AT244" s="2" t="str">
        <f>$D$1300</f>
        <v/>
      </c>
      <c r="AU244" s="465" t="s">
        <v>2107</v>
      </c>
    </row>
    <row r="245" spans="1:47" ht="19.95" customHeight="1">
      <c r="A245" s="853"/>
      <c r="B245" s="1375"/>
      <c r="C245" s="1375"/>
      <c r="D245" s="1375"/>
      <c r="E245" s="1375"/>
      <c r="F245" s="1375"/>
      <c r="G245" s="1375"/>
      <c r="H245" s="1375"/>
      <c r="I245" s="1375"/>
      <c r="J245" s="1375"/>
      <c r="K245" s="1375"/>
      <c r="L245" s="1375"/>
      <c r="M245" s="1375"/>
      <c r="N245" s="862"/>
      <c r="O245" s="629"/>
      <c r="P245" s="629"/>
      <c r="Q245" s="629"/>
      <c r="R245" s="629"/>
      <c r="S245" s="629"/>
      <c r="T245" s="629"/>
      <c r="U245" s="629"/>
      <c r="V245" s="629"/>
      <c r="W245" s="629"/>
      <c r="X245" s="629"/>
      <c r="Y245" s="629"/>
      <c r="Z245" s="629"/>
      <c r="AA245" s="629"/>
      <c r="AB245" s="630"/>
      <c r="AK245" s="734" t="s">
        <v>3190</v>
      </c>
    </row>
    <row r="246" spans="1:47" ht="19.95" customHeight="1">
      <c r="A246" s="853"/>
      <c r="B246" s="1375"/>
      <c r="C246" s="1375"/>
      <c r="D246" s="1375"/>
      <c r="E246" s="1375"/>
      <c r="F246" s="1375"/>
      <c r="G246" s="1375"/>
      <c r="H246" s="1375"/>
      <c r="I246" s="1375"/>
      <c r="J246" s="1375"/>
      <c r="K246" s="1375"/>
      <c r="L246" s="1375"/>
      <c r="M246" s="1375"/>
      <c r="N246" s="862"/>
      <c r="O246" s="629"/>
      <c r="P246" s="629"/>
      <c r="Q246" s="629"/>
      <c r="R246" s="629"/>
      <c r="S246" s="629"/>
      <c r="T246" s="629"/>
      <c r="U246" s="629"/>
      <c r="V246" s="629"/>
      <c r="W246" s="629"/>
      <c r="X246" s="629"/>
      <c r="Y246" s="629"/>
      <c r="Z246" s="629"/>
      <c r="AA246" s="629"/>
      <c r="AB246" s="630"/>
    </row>
    <row r="247" spans="1:47" ht="19.95" customHeight="1">
      <c r="A247" s="853"/>
      <c r="B247" s="1375"/>
      <c r="C247" s="1375"/>
      <c r="D247" s="1375"/>
      <c r="E247" s="1375"/>
      <c r="F247" s="1375"/>
      <c r="G247" s="1375"/>
      <c r="H247" s="1375"/>
      <c r="I247" s="1375"/>
      <c r="J247" s="1375"/>
      <c r="K247" s="1375"/>
      <c r="L247" s="1375"/>
      <c r="M247" s="1375"/>
      <c r="N247" s="862"/>
      <c r="O247" s="629"/>
      <c r="P247" s="629"/>
      <c r="Q247" s="629"/>
      <c r="R247" s="629"/>
      <c r="S247" s="629"/>
      <c r="T247" s="629"/>
      <c r="U247" s="629"/>
      <c r="V247" s="629"/>
      <c r="W247" s="629"/>
      <c r="X247" s="629"/>
      <c r="Y247" s="629"/>
      <c r="Z247" s="629"/>
      <c r="AA247" s="629"/>
      <c r="AB247" s="630"/>
    </row>
    <row r="248" spans="1:47" ht="19.95" customHeight="1">
      <c r="A248" s="853"/>
      <c r="B248" s="1375"/>
      <c r="C248" s="1375"/>
      <c r="D248" s="1375"/>
      <c r="E248" s="1375"/>
      <c r="F248" s="1375"/>
      <c r="G248" s="1375"/>
      <c r="H248" s="1375"/>
      <c r="I248" s="1375"/>
      <c r="J248" s="1375"/>
      <c r="K248" s="1375"/>
      <c r="L248" s="1375"/>
      <c r="M248" s="1375"/>
      <c r="N248" s="862"/>
      <c r="O248" s="629"/>
      <c r="P248" s="629"/>
      <c r="Q248" s="629"/>
      <c r="R248" s="629"/>
      <c r="S248" s="629"/>
      <c r="T248" s="629"/>
      <c r="U248" s="629"/>
      <c r="V248" s="629"/>
      <c r="W248" s="629"/>
      <c r="X248" s="629"/>
      <c r="Y248" s="629"/>
      <c r="Z248" s="629"/>
      <c r="AA248" s="629"/>
      <c r="AB248" s="630"/>
    </row>
    <row r="249" spans="1:47" ht="19.95" customHeight="1">
      <c r="A249" s="853"/>
      <c r="B249" s="1375"/>
      <c r="C249" s="1375"/>
      <c r="D249" s="1375"/>
      <c r="E249" s="1375"/>
      <c r="F249" s="1375"/>
      <c r="G249" s="1375"/>
      <c r="H249" s="1375"/>
      <c r="I249" s="1375"/>
      <c r="J249" s="1375"/>
      <c r="K249" s="1375"/>
      <c r="L249" s="1375"/>
      <c r="M249" s="1375"/>
      <c r="N249" s="862"/>
      <c r="O249" s="629"/>
      <c r="P249" s="629"/>
      <c r="Q249" s="629"/>
      <c r="R249" s="629"/>
      <c r="S249" s="629"/>
      <c r="T249" s="629"/>
      <c r="U249" s="629"/>
      <c r="V249" s="629"/>
      <c r="W249" s="629"/>
      <c r="X249" s="629"/>
      <c r="Y249" s="629"/>
      <c r="Z249" s="629"/>
      <c r="AA249" s="629"/>
      <c r="AB249" s="630"/>
    </row>
    <row r="250" spans="1:47" ht="4.95" customHeight="1">
      <c r="A250" s="853"/>
      <c r="B250" s="629"/>
      <c r="C250" s="629"/>
      <c r="D250" s="629"/>
      <c r="E250" s="629"/>
      <c r="F250" s="629"/>
      <c r="G250" s="629"/>
      <c r="H250" s="629"/>
      <c r="I250" s="629"/>
      <c r="J250" s="629"/>
      <c r="K250" s="629"/>
      <c r="L250" s="629"/>
      <c r="M250" s="629"/>
      <c r="N250" s="862"/>
      <c r="O250" s="629"/>
      <c r="P250" s="629"/>
      <c r="Q250" s="629"/>
      <c r="R250" s="629"/>
      <c r="S250" s="629"/>
      <c r="T250" s="629"/>
      <c r="U250" s="629"/>
      <c r="V250" s="629"/>
      <c r="W250" s="629"/>
      <c r="X250" s="629"/>
      <c r="Y250" s="629"/>
      <c r="Z250" s="629"/>
      <c r="AA250" s="629"/>
      <c r="AB250" s="630"/>
    </row>
    <row r="251" spans="1:47" ht="19.95" customHeight="1">
      <c r="A251" s="855"/>
      <c r="B251" s="1453" t="str">
        <f>AI252</f>
        <v>"Conservatives are all bad! They oppress us to death!"</v>
      </c>
      <c r="C251" s="1453"/>
      <c r="D251" s="1453"/>
      <c r="E251" s="629"/>
      <c r="F251" s="629"/>
      <c r="G251" s="629"/>
      <c r="H251" s="629"/>
      <c r="I251" s="629"/>
      <c r="J251" s="629"/>
      <c r="K251" s="1388" t="str">
        <f>AI255</f>
        <v>"Liberals are all bad! They want to tax us to death!"</v>
      </c>
      <c r="L251" s="1388"/>
      <c r="M251" s="1388"/>
      <c r="N251" s="862"/>
      <c r="O251" s="629"/>
      <c r="P251" s="629"/>
      <c r="Q251" s="629"/>
      <c r="R251" s="629"/>
      <c r="S251" s="629"/>
      <c r="T251" s="629"/>
      <c r="U251" s="629"/>
      <c r="V251" s="629"/>
      <c r="W251" s="629"/>
      <c r="X251" s="629"/>
      <c r="Y251" s="629"/>
      <c r="Z251" s="629"/>
      <c r="AA251" s="629"/>
      <c r="AB251" s="630"/>
      <c r="AI251" s="673" t="s">
        <v>2488</v>
      </c>
    </row>
    <row r="252" spans="1:47" ht="19.95" customHeight="1">
      <c r="A252" s="853"/>
      <c r="B252" s="1453"/>
      <c r="C252" s="1453"/>
      <c r="D252" s="1453"/>
      <c r="E252" s="656"/>
      <c r="F252" s="656"/>
      <c r="G252" s="656"/>
      <c r="H252" s="656"/>
      <c r="I252" s="656"/>
      <c r="J252" s="656"/>
      <c r="K252" s="1388"/>
      <c r="L252" s="1388"/>
      <c r="M252" s="1388"/>
      <c r="N252" s="862"/>
      <c r="O252" s="629"/>
      <c r="P252" s="629"/>
      <c r="Q252" s="629"/>
      <c r="R252" s="629"/>
      <c r="S252" s="629"/>
      <c r="T252" s="629"/>
      <c r="U252" s="629"/>
      <c r="V252" s="629"/>
      <c r="W252" s="629"/>
      <c r="X252" s="629"/>
      <c r="Y252" s="629"/>
      <c r="Z252" s="629"/>
      <c r="AA252" s="629"/>
      <c r="AB252" s="630"/>
      <c r="AI252" s="459" t="str">
        <f>IF(H$115="",AK253,CONCATENATE(AK252,AL252,AM252,AN252,AO252))</f>
        <v>"Conservatives are all bad! They oppress us to death!"</v>
      </c>
      <c r="AK252" s="465" t="s">
        <v>2497</v>
      </c>
      <c r="AL252" s="2" t="str">
        <f>$T$1300</f>
        <v/>
      </c>
      <c r="AM252" s="465" t="s">
        <v>1378</v>
      </c>
      <c r="AN252" s="2" t="str">
        <f>$V$1300</f>
        <v/>
      </c>
      <c r="AO252" s="465" t="s">
        <v>2499</v>
      </c>
    </row>
    <row r="253" spans="1:47" ht="19.95" customHeight="1">
      <c r="A253" s="853"/>
      <c r="B253" s="1453"/>
      <c r="C253" s="1453"/>
      <c r="D253" s="1453"/>
      <c r="E253" s="656"/>
      <c r="F253" s="656"/>
      <c r="G253" s="656"/>
      <c r="H253" s="656"/>
      <c r="I253" s="656"/>
      <c r="J253" s="656"/>
      <c r="K253" s="1388"/>
      <c r="L253" s="1388"/>
      <c r="M253" s="1388"/>
      <c r="N253" s="862"/>
      <c r="O253" s="629"/>
      <c r="P253" s="629"/>
      <c r="Q253" s="629"/>
      <c r="R253" s="629"/>
      <c r="S253" s="629"/>
      <c r="T253" s="629"/>
      <c r="U253" s="629"/>
      <c r="V253" s="629"/>
      <c r="W253" s="629"/>
      <c r="X253" s="629"/>
      <c r="Y253" s="629"/>
      <c r="Z253" s="629"/>
      <c r="AA253" s="629"/>
      <c r="AB253" s="630"/>
      <c r="AK253" s="734" t="s">
        <v>3191</v>
      </c>
    </row>
    <row r="254" spans="1:47" ht="19.95" customHeight="1">
      <c r="A254" s="853"/>
      <c r="B254" s="1453"/>
      <c r="C254" s="1453"/>
      <c r="D254" s="1453"/>
      <c r="E254" s="656"/>
      <c r="F254" s="656"/>
      <c r="G254" s="656"/>
      <c r="H254" s="656"/>
      <c r="I254" s="656"/>
      <c r="J254" s="656"/>
      <c r="K254" s="1388"/>
      <c r="L254" s="1388"/>
      <c r="M254" s="1388"/>
      <c r="N254" s="862"/>
      <c r="O254" s="629"/>
      <c r="P254" s="629"/>
      <c r="Q254" s="629"/>
      <c r="R254" s="629"/>
      <c r="S254" s="629"/>
      <c r="T254" s="629"/>
      <c r="U254" s="629"/>
      <c r="V254" s="629"/>
      <c r="W254" s="629"/>
      <c r="X254" s="629"/>
      <c r="Y254" s="629"/>
      <c r="Z254" s="629"/>
      <c r="AA254" s="629"/>
      <c r="AB254" s="630"/>
      <c r="AI254" s="674" t="s">
        <v>2489</v>
      </c>
    </row>
    <row r="255" spans="1:47" ht="19.95" customHeight="1">
      <c r="A255" s="853"/>
      <c r="B255" s="1453"/>
      <c r="C255" s="1453"/>
      <c r="D255" s="1453"/>
      <c r="E255" s="656"/>
      <c r="F255" s="656"/>
      <c r="G255" s="656"/>
      <c r="H255" s="656"/>
      <c r="I255" s="656"/>
      <c r="J255" s="656"/>
      <c r="K255" s="1388"/>
      <c r="L255" s="1388"/>
      <c r="M255" s="1388"/>
      <c r="N255" s="862"/>
      <c r="O255" s="629"/>
      <c r="P255" s="629"/>
      <c r="Q255" s="629"/>
      <c r="R255" s="629"/>
      <c r="S255" s="629"/>
      <c r="T255" s="629"/>
      <c r="U255" s="629"/>
      <c r="V255" s="629"/>
      <c r="W255" s="629"/>
      <c r="X255" s="629"/>
      <c r="Y255" s="629"/>
      <c r="Z255" s="629"/>
      <c r="AA255" s="629"/>
      <c r="AB255" s="630"/>
      <c r="AI255" s="459" t="str">
        <f>IF(H$115="",AK256,CONCATENATE(AK255,AL255,AM255,AN255,AO255))</f>
        <v>"Liberals are all bad! They want to tax us to death!"</v>
      </c>
      <c r="AK255" s="465" t="s">
        <v>2498</v>
      </c>
      <c r="AL255" s="2" t="str">
        <f>$U$1300</f>
        <v/>
      </c>
      <c r="AM255" s="465" t="s">
        <v>1378</v>
      </c>
      <c r="AN255" s="2" t="str">
        <f>$W$1300</f>
        <v/>
      </c>
      <c r="AO255" s="465" t="s">
        <v>2499</v>
      </c>
    </row>
    <row r="256" spans="1:47" ht="34.950000000000003" customHeight="1">
      <c r="A256" s="853"/>
      <c r="B256" s="1453"/>
      <c r="C256" s="1453"/>
      <c r="D256" s="1453"/>
      <c r="E256" s="656"/>
      <c r="F256" s="656"/>
      <c r="G256" s="656"/>
      <c r="H256" s="656"/>
      <c r="I256" s="656"/>
      <c r="J256" s="656"/>
      <c r="K256" s="1388"/>
      <c r="L256" s="1388"/>
      <c r="M256" s="1388"/>
      <c r="N256" s="862"/>
      <c r="O256" s="629"/>
      <c r="P256" s="629"/>
      <c r="Q256" s="629"/>
      <c r="R256" s="629"/>
      <c r="S256" s="629"/>
      <c r="T256" s="629"/>
      <c r="U256" s="629"/>
      <c r="V256" s="629"/>
      <c r="W256" s="629"/>
      <c r="X256" s="629"/>
      <c r="Y256" s="629"/>
      <c r="Z256" s="629"/>
      <c r="AA256" s="629"/>
      <c r="AB256" s="630"/>
      <c r="AI256" s="37"/>
      <c r="AK256" s="734" t="s">
        <v>3192</v>
      </c>
    </row>
    <row r="257" spans="1:41" ht="19.95" customHeight="1">
      <c r="A257" s="853"/>
      <c r="B257" s="656"/>
      <c r="C257" s="656"/>
      <c r="D257" s="656"/>
      <c r="E257" s="656"/>
      <c r="F257" s="656"/>
      <c r="G257" s="656"/>
      <c r="H257" s="656"/>
      <c r="I257" s="656"/>
      <c r="J257" s="656"/>
      <c r="K257" s="656"/>
      <c r="L257" s="656"/>
      <c r="M257" s="656"/>
      <c r="N257" s="862"/>
      <c r="O257" s="629"/>
      <c r="P257" s="629"/>
      <c r="Q257" s="629"/>
      <c r="R257" s="629"/>
      <c r="S257" s="629"/>
      <c r="T257" s="629"/>
      <c r="U257" s="629"/>
      <c r="V257" s="629"/>
      <c r="W257" s="629"/>
      <c r="X257" s="629"/>
      <c r="Y257" s="629"/>
      <c r="Z257" s="629"/>
      <c r="AA257" s="629"/>
      <c r="AB257" s="630"/>
    </row>
    <row r="258" spans="1:41" ht="4.95" customHeight="1">
      <c r="A258" s="853"/>
      <c r="B258" s="629"/>
      <c r="C258" s="629"/>
      <c r="D258" s="629"/>
      <c r="E258" s="629"/>
      <c r="F258" s="629"/>
      <c r="G258" s="629"/>
      <c r="H258" s="629"/>
      <c r="I258" s="629"/>
      <c r="J258" s="629"/>
      <c r="K258" s="629"/>
      <c r="L258" s="629"/>
      <c r="M258" s="629"/>
      <c r="N258" s="862"/>
      <c r="O258" s="629"/>
      <c r="P258" s="629"/>
      <c r="Q258" s="629"/>
      <c r="R258" s="629"/>
      <c r="S258" s="629"/>
      <c r="T258" s="629"/>
      <c r="U258" s="629"/>
      <c r="V258" s="629"/>
      <c r="W258" s="629"/>
      <c r="X258" s="629"/>
      <c r="Y258" s="629"/>
      <c r="Z258" s="629"/>
      <c r="AA258" s="629"/>
      <c r="AB258" s="630"/>
    </row>
    <row r="259" spans="1:41" ht="19.95" customHeight="1">
      <c r="A259" s="858" t="s">
        <v>2467</v>
      </c>
      <c r="B259" s="632"/>
      <c r="C259" s="629"/>
      <c r="D259" s="629"/>
      <c r="E259" s="629"/>
      <c r="F259" s="629"/>
      <c r="G259" s="629"/>
      <c r="H259" s="629"/>
      <c r="I259" s="629"/>
      <c r="J259" s="629"/>
      <c r="K259" s="629"/>
      <c r="L259" s="629"/>
      <c r="M259" s="629"/>
      <c r="N259" s="862"/>
      <c r="O259" s="629"/>
      <c r="P259" s="629"/>
      <c r="Q259" s="629"/>
      <c r="R259" s="629"/>
      <c r="S259" s="629"/>
      <c r="T259" s="629"/>
      <c r="U259" s="629"/>
      <c r="V259" s="629"/>
      <c r="W259" s="629"/>
      <c r="X259" s="629"/>
      <c r="Y259" s="629"/>
      <c r="Z259" s="629"/>
      <c r="AA259" s="629"/>
      <c r="AB259" s="630"/>
    </row>
    <row r="260" spans="1:41" ht="19.95" customHeight="1">
      <c r="A260" s="853"/>
      <c r="B260" s="1375" t="s">
        <v>2609</v>
      </c>
      <c r="C260" s="1375"/>
      <c r="D260" s="1375"/>
      <c r="E260" s="1375"/>
      <c r="F260" s="1375"/>
      <c r="G260" s="1375"/>
      <c r="H260" s="1375"/>
      <c r="I260" s="1375"/>
      <c r="J260" s="1375"/>
      <c r="K260" s="1375"/>
      <c r="L260" s="1375"/>
      <c r="M260" s="1375"/>
      <c r="N260" s="862"/>
      <c r="O260" s="629"/>
      <c r="P260" s="629"/>
      <c r="Q260" s="629"/>
      <c r="R260" s="629"/>
      <c r="S260" s="629"/>
      <c r="T260" s="629"/>
      <c r="U260" s="629"/>
      <c r="V260" s="629"/>
      <c r="W260" s="629"/>
      <c r="X260" s="629"/>
      <c r="Y260" s="629"/>
      <c r="Z260" s="629"/>
      <c r="AA260" s="629"/>
      <c r="AB260" s="630"/>
    </row>
    <row r="261" spans="1:41" ht="19.95" customHeight="1">
      <c r="A261" s="853"/>
      <c r="B261" s="1375"/>
      <c r="C261" s="1375"/>
      <c r="D261" s="1375"/>
      <c r="E261" s="1375"/>
      <c r="F261" s="1375"/>
      <c r="G261" s="1375"/>
      <c r="H261" s="1375"/>
      <c r="I261" s="1375"/>
      <c r="J261" s="1375"/>
      <c r="K261" s="1375"/>
      <c r="L261" s="1375"/>
      <c r="M261" s="1375"/>
      <c r="N261" s="862"/>
      <c r="O261" s="629"/>
      <c r="P261" s="629"/>
      <c r="Q261" s="629"/>
      <c r="R261" s="629"/>
      <c r="S261" s="629"/>
      <c r="T261" s="629"/>
      <c r="U261" s="629"/>
      <c r="V261" s="629"/>
      <c r="W261" s="629"/>
      <c r="X261" s="629"/>
      <c r="Y261" s="629"/>
      <c r="Z261" s="629"/>
      <c r="AA261" s="629"/>
      <c r="AB261" s="630"/>
      <c r="AM261" s="697" t="s">
        <v>187</v>
      </c>
      <c r="AO261" s="698" t="s">
        <v>189</v>
      </c>
    </row>
    <row r="262" spans="1:41" ht="19.95" customHeight="1">
      <c r="A262" s="853"/>
      <c r="B262" s="1375"/>
      <c r="C262" s="1375"/>
      <c r="D262" s="1375"/>
      <c r="E262" s="1375"/>
      <c r="F262" s="1375"/>
      <c r="G262" s="1375"/>
      <c r="H262" s="1375"/>
      <c r="I262" s="1375"/>
      <c r="J262" s="1375"/>
      <c r="K262" s="1375"/>
      <c r="L262" s="1375"/>
      <c r="M262" s="1375"/>
      <c r="N262" s="862"/>
      <c r="O262" s="629"/>
      <c r="P262" s="629"/>
      <c r="Q262" s="629"/>
      <c r="R262" s="629"/>
      <c r="S262" s="629"/>
      <c r="T262" s="629"/>
      <c r="U262" s="629"/>
      <c r="V262" s="629"/>
      <c r="W262" s="629"/>
      <c r="X262" s="629"/>
      <c r="Y262" s="629"/>
      <c r="Z262" s="629"/>
      <c r="AA262" s="629"/>
      <c r="AB262" s="630"/>
      <c r="AI262" s="2">
        <v>1</v>
      </c>
      <c r="AJ262" s="37" t="str">
        <f t="shared" ref="AJ262:AJ273" si="2">CONCATENATE(AM262,AN262,AO262)</f>
        <v>differentness and cohesion</v>
      </c>
      <c r="AM262" s="699" t="s">
        <v>2565</v>
      </c>
      <c r="AN262" s="696" t="s">
        <v>1378</v>
      </c>
      <c r="AO262" s="400" t="s">
        <v>181</v>
      </c>
    </row>
    <row r="263" spans="1:41" ht="19.95" customHeight="1">
      <c r="A263" s="853"/>
      <c r="B263" s="1375"/>
      <c r="C263" s="1375"/>
      <c r="D263" s="1375"/>
      <c r="E263" s="1375"/>
      <c r="F263" s="1375"/>
      <c r="G263" s="1375"/>
      <c r="H263" s="1375"/>
      <c r="I263" s="1375"/>
      <c r="J263" s="1375"/>
      <c r="K263" s="1375"/>
      <c r="L263" s="1375"/>
      <c r="M263" s="1375"/>
      <c r="N263" s="862"/>
      <c r="O263" s="629"/>
      <c r="P263" s="629"/>
      <c r="Q263" s="629"/>
      <c r="R263" s="629"/>
      <c r="S263" s="629"/>
      <c r="T263" s="629"/>
      <c r="U263" s="629"/>
      <c r="V263" s="629"/>
      <c r="W263" s="629"/>
      <c r="X263" s="629"/>
      <c r="Y263" s="629"/>
      <c r="Z263" s="629"/>
      <c r="AA263" s="629"/>
      <c r="AB263" s="630"/>
      <c r="AI263" s="2">
        <v>2</v>
      </c>
      <c r="AJ263" s="37" t="str">
        <f t="shared" si="2"/>
        <v>efficacy and cohesion</v>
      </c>
      <c r="AM263" s="699" t="s">
        <v>2566</v>
      </c>
      <c r="AN263" s="696" t="s">
        <v>1378</v>
      </c>
      <c r="AO263" s="400" t="s">
        <v>181</v>
      </c>
    </row>
    <row r="264" spans="1:41" ht="19.95" customHeight="1">
      <c r="A264" s="853"/>
      <c r="B264" s="1375"/>
      <c r="C264" s="1375"/>
      <c r="D264" s="1375"/>
      <c r="E264" s="1375"/>
      <c r="F264" s="1375"/>
      <c r="G264" s="1375"/>
      <c r="H264" s="1375"/>
      <c r="I264" s="1375"/>
      <c r="J264" s="1375"/>
      <c r="K264" s="1375"/>
      <c r="L264" s="1375"/>
      <c r="M264" s="1375"/>
      <c r="N264" s="862"/>
      <c r="O264" s="629"/>
      <c r="P264" s="629"/>
      <c r="Q264" s="629"/>
      <c r="R264" s="629"/>
      <c r="S264" s="629"/>
      <c r="T264" s="629"/>
      <c r="U264" s="629"/>
      <c r="V264" s="629"/>
      <c r="W264" s="629"/>
      <c r="X264" s="629"/>
      <c r="Y264" s="629"/>
      <c r="Z264" s="629"/>
      <c r="AA264" s="629"/>
      <c r="AB264" s="630"/>
      <c r="AI264" s="2">
        <v>3</v>
      </c>
      <c r="AJ264" s="37" t="str">
        <f t="shared" si="2"/>
        <v>novel and familiar</v>
      </c>
      <c r="AM264" s="699" t="s">
        <v>2567</v>
      </c>
      <c r="AN264" s="696" t="s">
        <v>1378</v>
      </c>
      <c r="AO264" s="400" t="s">
        <v>2578</v>
      </c>
    </row>
    <row r="265" spans="1:41" ht="4.95" customHeight="1" thickBot="1">
      <c r="A265" s="853"/>
      <c r="B265" s="632"/>
      <c r="C265" s="656"/>
      <c r="D265" s="656"/>
      <c r="E265" s="656"/>
      <c r="F265" s="656"/>
      <c r="G265" s="656"/>
      <c r="H265" s="656"/>
      <c r="I265" s="656"/>
      <c r="J265" s="656"/>
      <c r="K265" s="656"/>
      <c r="L265" s="656"/>
      <c r="M265" s="633"/>
      <c r="N265" s="862"/>
      <c r="O265" s="629"/>
      <c r="P265" s="629"/>
      <c r="Q265" s="629"/>
      <c r="R265" s="629"/>
      <c r="S265" s="629"/>
      <c r="T265" s="629"/>
      <c r="U265" s="629"/>
      <c r="V265" s="629"/>
      <c r="W265" s="629"/>
      <c r="X265" s="629"/>
      <c r="Y265" s="629"/>
      <c r="Z265" s="629"/>
      <c r="AA265" s="629"/>
      <c r="AB265" s="630"/>
      <c r="AI265" s="2">
        <v>4</v>
      </c>
      <c r="AJ265" s="37" t="str">
        <f t="shared" si="2"/>
        <v>minority and traditional</v>
      </c>
      <c r="AM265" s="699" t="s">
        <v>2568</v>
      </c>
      <c r="AN265" s="696" t="s">
        <v>1378</v>
      </c>
      <c r="AO265" s="400" t="s">
        <v>2579</v>
      </c>
    </row>
    <row r="266" spans="1:41" ht="30" customHeight="1" thickBot="1">
      <c r="A266" s="855"/>
      <c r="B266" s="1401"/>
      <c r="C266" s="1402"/>
      <c r="D266" s="1403"/>
      <c r="E266" s="1429" t="s">
        <v>3219</v>
      </c>
      <c r="F266" s="1430"/>
      <c r="G266" s="1430"/>
      <c r="H266" s="1430"/>
      <c r="I266" s="1430"/>
      <c r="J266" s="1431"/>
      <c r="K266" s="1385"/>
      <c r="L266" s="1386"/>
      <c r="M266" s="1387"/>
      <c r="N266" s="862"/>
      <c r="O266" s="629"/>
      <c r="P266" s="629"/>
      <c r="Q266" s="629"/>
      <c r="R266" s="629"/>
      <c r="S266" s="629"/>
      <c r="T266" s="629"/>
      <c r="U266" s="629"/>
      <c r="V266" s="629"/>
      <c r="W266" s="629"/>
      <c r="X266" s="629"/>
      <c r="Y266" s="629"/>
      <c r="Z266" s="629"/>
      <c r="AA266" s="629"/>
      <c r="AB266" s="630"/>
      <c r="AI266" s="2">
        <v>5</v>
      </c>
      <c r="AJ266" s="37" t="str">
        <f t="shared" si="2"/>
        <v>group and personal</v>
      </c>
      <c r="AM266" s="699" t="s">
        <v>2569</v>
      </c>
      <c r="AN266" s="696" t="s">
        <v>1378</v>
      </c>
      <c r="AO266" s="400" t="s">
        <v>1416</v>
      </c>
    </row>
    <row r="267" spans="1:41" ht="19.95" customHeight="1">
      <c r="A267" s="853"/>
      <c r="B267" s="1404"/>
      <c r="C267" s="1404"/>
      <c r="D267" s="1404"/>
      <c r="E267" s="1404"/>
      <c r="F267" s="1404"/>
      <c r="G267" s="1404"/>
      <c r="H267" s="1404"/>
      <c r="I267" s="1404"/>
      <c r="J267" s="1404"/>
      <c r="K267" s="1404"/>
      <c r="L267" s="1404"/>
      <c r="M267" s="1404"/>
      <c r="N267" s="862"/>
      <c r="O267" s="629"/>
      <c r="P267" s="629"/>
      <c r="Q267" s="629"/>
      <c r="R267" s="629"/>
      <c r="S267" s="629"/>
      <c r="T267" s="629"/>
      <c r="U267" s="629"/>
      <c r="V267" s="629"/>
      <c r="W267" s="629"/>
      <c r="X267" s="629"/>
      <c r="Y267" s="629"/>
      <c r="Z267" s="629"/>
      <c r="AA267" s="629"/>
      <c r="AB267" s="630"/>
      <c r="AI267" s="2">
        <v>6</v>
      </c>
      <c r="AJ267" s="37" t="str">
        <f t="shared" si="2"/>
        <v>equality and freedom</v>
      </c>
      <c r="AM267" s="699" t="s">
        <v>2570</v>
      </c>
      <c r="AN267" s="696" t="s">
        <v>1378</v>
      </c>
      <c r="AO267" s="400" t="s">
        <v>2580</v>
      </c>
    </row>
    <row r="268" spans="1:41" ht="19.95" customHeight="1">
      <c r="A268" s="853"/>
      <c r="B268" s="1404"/>
      <c r="C268" s="1404"/>
      <c r="D268" s="1404"/>
      <c r="E268" s="1404"/>
      <c r="F268" s="1404"/>
      <c r="G268" s="1404"/>
      <c r="H268" s="1404"/>
      <c r="I268" s="1404"/>
      <c r="J268" s="1404"/>
      <c r="K268" s="1404"/>
      <c r="L268" s="1404"/>
      <c r="M268" s="1404"/>
      <c r="N268" s="862"/>
      <c r="O268" s="629"/>
      <c r="P268" s="629"/>
      <c r="Q268" s="629"/>
      <c r="R268" s="629"/>
      <c r="S268" s="629"/>
      <c r="T268" s="629"/>
      <c r="U268" s="629"/>
      <c r="V268" s="629"/>
      <c r="W268" s="629"/>
      <c r="X268" s="629"/>
      <c r="Y268" s="629"/>
      <c r="Z268" s="629"/>
      <c r="AA268" s="629"/>
      <c r="AB268" s="630"/>
      <c r="AI268" s="2">
        <v>7</v>
      </c>
      <c r="AJ268" s="37" t="str">
        <f t="shared" si="2"/>
        <v>public goods and private goods</v>
      </c>
      <c r="AM268" s="699" t="s">
        <v>2571</v>
      </c>
      <c r="AN268" s="696" t="s">
        <v>1378</v>
      </c>
      <c r="AO268" s="400" t="s">
        <v>2576</v>
      </c>
    </row>
    <row r="269" spans="1:41" ht="19.95" customHeight="1">
      <c r="A269" s="853"/>
      <c r="B269" s="1404"/>
      <c r="C269" s="1404"/>
      <c r="D269" s="1404"/>
      <c r="E269" s="1404"/>
      <c r="F269" s="1404"/>
      <c r="G269" s="1404"/>
      <c r="H269" s="1404"/>
      <c r="I269" s="1404"/>
      <c r="J269" s="1404"/>
      <c r="K269" s="1404"/>
      <c r="L269" s="1404"/>
      <c r="M269" s="1404"/>
      <c r="N269" s="862"/>
      <c r="O269" s="629"/>
      <c r="P269" s="629"/>
      <c r="Q269" s="629"/>
      <c r="R269" s="629"/>
      <c r="S269" s="629"/>
      <c r="T269" s="629"/>
      <c r="U269" s="629"/>
      <c r="V269" s="629"/>
      <c r="W269" s="629"/>
      <c r="X269" s="629"/>
      <c r="Y269" s="629"/>
      <c r="Z269" s="629"/>
      <c r="AA269" s="629"/>
      <c r="AB269" s="630"/>
      <c r="AI269" s="2">
        <v>8</v>
      </c>
      <c r="AJ269" s="37" t="str">
        <f t="shared" si="2"/>
        <v>public sector and private sector</v>
      </c>
      <c r="AM269" s="699" t="s">
        <v>2572</v>
      </c>
      <c r="AN269" s="696" t="s">
        <v>1378</v>
      </c>
      <c r="AO269" s="400" t="s">
        <v>2577</v>
      </c>
    </row>
    <row r="270" spans="1:41" ht="19.95" customHeight="1">
      <c r="A270" s="853"/>
      <c r="B270" s="1404"/>
      <c r="C270" s="1404"/>
      <c r="D270" s="1404"/>
      <c r="E270" s="1404"/>
      <c r="F270" s="1404"/>
      <c r="G270" s="1404"/>
      <c r="H270" s="1404"/>
      <c r="I270" s="1404"/>
      <c r="J270" s="1404"/>
      <c r="K270" s="1404"/>
      <c r="L270" s="1404"/>
      <c r="M270" s="1404"/>
      <c r="N270" s="862"/>
      <c r="O270" s="629"/>
      <c r="P270" s="629"/>
      <c r="Q270" s="629"/>
      <c r="R270" s="629"/>
      <c r="S270" s="629"/>
      <c r="T270" s="629"/>
      <c r="U270" s="629"/>
      <c r="V270" s="629"/>
      <c r="W270" s="629"/>
      <c r="X270" s="629"/>
      <c r="Y270" s="629"/>
      <c r="Z270" s="629"/>
      <c r="AA270" s="629"/>
      <c r="AB270" s="630"/>
      <c r="AI270" s="2">
        <v>9</v>
      </c>
      <c r="AJ270" s="37" t="str">
        <f t="shared" si="2"/>
        <v>inclusion and stability</v>
      </c>
      <c r="AM270" s="699" t="s">
        <v>179</v>
      </c>
      <c r="AN270" s="696" t="s">
        <v>1378</v>
      </c>
      <c r="AO270" s="400" t="s">
        <v>2581</v>
      </c>
    </row>
    <row r="271" spans="1:41" ht="19.95" customHeight="1">
      <c r="A271" s="853"/>
      <c r="B271" s="1404"/>
      <c r="C271" s="1404"/>
      <c r="D271" s="1404"/>
      <c r="E271" s="1404"/>
      <c r="F271" s="1404"/>
      <c r="G271" s="1404"/>
      <c r="H271" s="1404"/>
      <c r="I271" s="1404"/>
      <c r="J271" s="1404"/>
      <c r="K271" s="1404"/>
      <c r="L271" s="1404"/>
      <c r="M271" s="1404"/>
      <c r="N271" s="862"/>
      <c r="O271" s="629"/>
      <c r="P271" s="629"/>
      <c r="Q271" s="629"/>
      <c r="R271" s="629"/>
      <c r="S271" s="629"/>
      <c r="T271" s="629"/>
      <c r="U271" s="629"/>
      <c r="V271" s="629"/>
      <c r="W271" s="629"/>
      <c r="X271" s="629"/>
      <c r="Y271" s="629"/>
      <c r="Z271" s="629"/>
      <c r="AA271" s="629"/>
      <c r="AB271" s="630"/>
      <c r="AI271" s="2">
        <v>10</v>
      </c>
      <c r="AJ271" s="37" t="str">
        <f t="shared" si="2"/>
        <v>collective and individual</v>
      </c>
      <c r="AM271" s="699" t="s">
        <v>2573</v>
      </c>
      <c r="AN271" s="696" t="s">
        <v>1378</v>
      </c>
      <c r="AO271" s="400" t="s">
        <v>2582</v>
      </c>
    </row>
    <row r="272" spans="1:41" ht="19.95" customHeight="1">
      <c r="A272" s="853"/>
      <c r="B272" s="1404"/>
      <c r="C272" s="1404"/>
      <c r="D272" s="1404"/>
      <c r="E272" s="1404"/>
      <c r="F272" s="1404"/>
      <c r="G272" s="1404"/>
      <c r="H272" s="1404"/>
      <c r="I272" s="1404"/>
      <c r="J272" s="1404"/>
      <c r="K272" s="1404"/>
      <c r="L272" s="1404"/>
      <c r="M272" s="1404"/>
      <c r="N272" s="862"/>
      <c r="O272" s="629"/>
      <c r="P272" s="629"/>
      <c r="Q272" s="629"/>
      <c r="R272" s="629"/>
      <c r="S272" s="629"/>
      <c r="T272" s="629"/>
      <c r="U272" s="629"/>
      <c r="V272" s="629"/>
      <c r="W272" s="629"/>
      <c r="X272" s="629"/>
      <c r="Y272" s="629"/>
      <c r="Z272" s="629"/>
      <c r="AA272" s="629"/>
      <c r="AB272" s="630"/>
      <c r="AI272" s="2">
        <v>11</v>
      </c>
      <c r="AJ272" s="37" t="str">
        <f t="shared" si="2"/>
        <v>"oppression" and "tyranny"</v>
      </c>
      <c r="AM272" s="699" t="s">
        <v>2574</v>
      </c>
      <c r="AN272" s="696" t="s">
        <v>1378</v>
      </c>
      <c r="AO272" s="400" t="s">
        <v>2583</v>
      </c>
    </row>
    <row r="273" spans="1:45" ht="19.95" customHeight="1">
      <c r="A273" s="853"/>
      <c r="B273" s="1404"/>
      <c r="C273" s="1404"/>
      <c r="D273" s="1404"/>
      <c r="E273" s="1404"/>
      <c r="F273" s="1404"/>
      <c r="G273" s="1404"/>
      <c r="H273" s="1404"/>
      <c r="I273" s="1404"/>
      <c r="J273" s="1404"/>
      <c r="K273" s="1404"/>
      <c r="L273" s="1404"/>
      <c r="M273" s="1404"/>
      <c r="N273" s="862"/>
      <c r="O273" s="629"/>
      <c r="P273" s="629"/>
      <c r="Q273" s="629"/>
      <c r="R273" s="629"/>
      <c r="S273" s="629"/>
      <c r="T273" s="629"/>
      <c r="U273" s="629"/>
      <c r="V273" s="629"/>
      <c r="W273" s="629"/>
      <c r="X273" s="629"/>
      <c r="Y273" s="629"/>
      <c r="Z273" s="629"/>
      <c r="AA273" s="629"/>
      <c r="AB273" s="630"/>
      <c r="AI273" s="2">
        <v>12</v>
      </c>
      <c r="AJ273" s="37" t="str">
        <f t="shared" si="2"/>
        <v>marginalized and intruded</v>
      </c>
      <c r="AM273" s="699" t="s">
        <v>2575</v>
      </c>
      <c r="AN273" s="696" t="s">
        <v>1378</v>
      </c>
      <c r="AO273" s="400" t="s">
        <v>2584</v>
      </c>
    </row>
    <row r="274" spans="1:45" ht="15" customHeight="1">
      <c r="A274" s="857"/>
      <c r="B274" s="635"/>
      <c r="C274" s="635"/>
      <c r="D274" s="635"/>
      <c r="E274" s="635"/>
      <c r="F274" s="635"/>
      <c r="G274" s="635"/>
      <c r="H274" s="635"/>
      <c r="I274" s="635"/>
      <c r="J274" s="635"/>
      <c r="K274" s="635"/>
      <c r="L274" s="635"/>
      <c r="M274" s="635"/>
      <c r="N274" s="867"/>
      <c r="O274" s="635"/>
      <c r="P274" s="635"/>
      <c r="Q274" s="635"/>
      <c r="R274" s="635"/>
      <c r="S274" s="635"/>
      <c r="T274" s="635"/>
      <c r="U274" s="635"/>
      <c r="V274" s="635"/>
      <c r="W274" s="635"/>
      <c r="X274" s="635"/>
      <c r="Y274" s="635"/>
      <c r="Z274" s="635"/>
      <c r="AA274" s="635"/>
      <c r="AB274" s="636"/>
    </row>
    <row r="275" spans="1:45" ht="30" customHeight="1">
      <c r="A275" s="854" t="s">
        <v>1148</v>
      </c>
      <c r="B275" s="884" t="s">
        <v>2081</v>
      </c>
      <c r="C275" s="884"/>
      <c r="D275" s="884"/>
      <c r="E275" s="884"/>
      <c r="F275" s="884"/>
      <c r="G275" s="884"/>
      <c r="H275" s="884"/>
      <c r="I275" s="884"/>
      <c r="J275" s="884"/>
      <c r="K275" s="884"/>
      <c r="L275" s="884"/>
      <c r="M275" s="884"/>
      <c r="N275" s="865" t="s">
        <v>1149</v>
      </c>
      <c r="O275" s="860"/>
      <c r="P275" s="647"/>
      <c r="Q275" s="647"/>
      <c r="R275" s="647"/>
      <c r="S275" s="647"/>
      <c r="T275" s="647"/>
      <c r="U275" s="647"/>
      <c r="V275" s="647"/>
      <c r="W275" s="647"/>
      <c r="X275" s="647"/>
      <c r="Y275" s="647"/>
      <c r="Z275" s="647"/>
      <c r="AA275" s="647"/>
      <c r="AB275" s="650" t="s">
        <v>1149</v>
      </c>
      <c r="AI275" s="37" t="str">
        <f>CONCATENATE(AK275,AL275,AM275)</f>
        <v/>
      </c>
      <c r="AJ275" s="37" t="str">
        <f t="shared" ref="AJ275:AO275" si="3">CONCATENATE(AL275,AM275,AN275)</f>
        <v/>
      </c>
      <c r="AK275" s="37" t="str">
        <f t="shared" si="3"/>
        <v/>
      </c>
      <c r="AL275" s="37" t="str">
        <f t="shared" si="3"/>
        <v/>
      </c>
      <c r="AM275" s="37" t="str">
        <f t="shared" si="3"/>
        <v/>
      </c>
      <c r="AN275" s="37" t="str">
        <f t="shared" si="3"/>
        <v/>
      </c>
      <c r="AO275" s="37" t="str">
        <f t="shared" si="3"/>
        <v/>
      </c>
    </row>
    <row r="276" spans="1:45" ht="10.050000000000001" customHeight="1">
      <c r="A276" s="853"/>
      <c r="B276" s="629"/>
      <c r="C276" s="629"/>
      <c r="D276" s="629"/>
      <c r="E276" s="629"/>
      <c r="F276" s="629"/>
      <c r="G276" s="629"/>
      <c r="H276" s="629"/>
      <c r="I276" s="629"/>
      <c r="J276" s="629"/>
      <c r="K276" s="629"/>
      <c r="L276" s="629"/>
      <c r="M276" s="629"/>
      <c r="N276" s="862"/>
      <c r="O276" s="629"/>
      <c r="P276" s="629"/>
      <c r="Q276" s="629"/>
      <c r="R276" s="629"/>
      <c r="S276" s="629"/>
      <c r="T276" s="629"/>
      <c r="U276" s="629"/>
      <c r="V276" s="629"/>
      <c r="W276" s="629"/>
      <c r="X276" s="629"/>
      <c r="Y276" s="629"/>
      <c r="Z276" s="629"/>
      <c r="AA276" s="629"/>
      <c r="AB276" s="630"/>
    </row>
    <row r="277" spans="1:45" ht="19.95" customHeight="1">
      <c r="A277" s="853"/>
      <c r="B277" s="706" t="s">
        <v>3220</v>
      </c>
      <c r="C277" s="631"/>
      <c r="D277" s="631"/>
      <c r="E277" s="631"/>
      <c r="F277" s="631"/>
      <c r="G277" s="631"/>
      <c r="H277" s="631"/>
      <c r="I277" s="631"/>
      <c r="J277" s="631"/>
      <c r="K277" s="631"/>
      <c r="L277" s="631"/>
      <c r="M277" s="631"/>
      <c r="N277" s="862"/>
      <c r="O277" s="629"/>
      <c r="P277" s="629"/>
      <c r="Q277" s="629"/>
      <c r="R277" s="629"/>
      <c r="S277" s="629"/>
      <c r="T277" s="629"/>
      <c r="U277" s="629"/>
      <c r="V277" s="629"/>
      <c r="W277" s="629"/>
      <c r="X277" s="629"/>
      <c r="Y277" s="629"/>
      <c r="Z277" s="629"/>
      <c r="AA277" s="629"/>
      <c r="AB277" s="630"/>
    </row>
    <row r="278" spans="1:45" ht="4.95" customHeight="1">
      <c r="A278" s="853"/>
      <c r="B278" s="631"/>
      <c r="C278" s="631"/>
      <c r="D278" s="631"/>
      <c r="E278" s="631"/>
      <c r="F278" s="631"/>
      <c r="G278" s="631"/>
      <c r="H278" s="631"/>
      <c r="I278" s="631"/>
      <c r="J278" s="631"/>
      <c r="K278" s="631"/>
      <c r="L278" s="631"/>
      <c r="M278" s="631"/>
      <c r="N278" s="862"/>
      <c r="O278" s="629"/>
      <c r="P278" s="629"/>
      <c r="Q278" s="629"/>
      <c r="R278" s="629"/>
      <c r="S278" s="629"/>
      <c r="T278" s="629"/>
      <c r="U278" s="629"/>
      <c r="V278" s="629"/>
      <c r="W278" s="629"/>
      <c r="X278" s="629"/>
      <c r="Y278" s="629"/>
      <c r="Z278" s="629"/>
      <c r="AA278" s="629"/>
      <c r="AB278" s="630"/>
    </row>
    <row r="279" spans="1:45" ht="19.95" customHeight="1">
      <c r="A279" s="858" t="s">
        <v>2468</v>
      </c>
      <c r="B279" s="632"/>
      <c r="C279" s="631"/>
      <c r="D279" s="631"/>
      <c r="E279" s="631"/>
      <c r="F279" s="631"/>
      <c r="G279" s="631"/>
      <c r="H279" s="631"/>
      <c r="I279" s="631"/>
      <c r="J279" s="631"/>
      <c r="K279" s="631"/>
      <c r="L279" s="631"/>
      <c r="M279" s="631"/>
      <c r="N279" s="862"/>
      <c r="O279" s="629"/>
      <c r="P279" s="629"/>
      <c r="Q279" s="629"/>
      <c r="R279" s="629"/>
      <c r="S279" s="629"/>
      <c r="T279" s="629"/>
      <c r="U279" s="629"/>
      <c r="V279" s="629"/>
      <c r="W279" s="629"/>
      <c r="X279" s="629"/>
      <c r="Y279" s="629"/>
      <c r="Z279" s="629"/>
      <c r="AA279" s="629"/>
      <c r="AB279" s="630"/>
    </row>
    <row r="280" spans="1:45" ht="19.95" customHeight="1">
      <c r="A280" s="853"/>
      <c r="B280" s="1375" t="str">
        <f>AI280</f>
        <v>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v>
      </c>
      <c r="C280" s="1375"/>
      <c r="D280" s="1375"/>
      <c r="E280" s="1375"/>
      <c r="F280" s="1375"/>
      <c r="G280" s="1375"/>
      <c r="H280" s="1375"/>
      <c r="I280" s="1375"/>
      <c r="J280" s="1375"/>
      <c r="K280" s="1375"/>
      <c r="L280" s="1375"/>
      <c r="M280" s="1375"/>
      <c r="N280" s="862"/>
      <c r="O280" s="629"/>
      <c r="P280" s="629"/>
      <c r="Q280" s="629"/>
      <c r="R280" s="629"/>
      <c r="S280" s="629"/>
      <c r="T280" s="629"/>
      <c r="U280" s="629"/>
      <c r="V280" s="629"/>
      <c r="W280" s="629"/>
      <c r="X280" s="629"/>
      <c r="Y280" s="629"/>
      <c r="Z280" s="629"/>
      <c r="AA280" s="629"/>
      <c r="AB280" s="630"/>
      <c r="AI280" s="459" t="str">
        <f>CONCATENATE(AK280,AL280,AM280,AN280,AO280,AP280,AQ280,AR280,AS280,AT280,AU280,AV280,AW280,AX280)</f>
        <v>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v>
      </c>
      <c r="AK280" s="465" t="s">
        <v>3174</v>
      </c>
      <c r="AM280" s="465"/>
    </row>
    <row r="281" spans="1:45" ht="19.95" customHeight="1">
      <c r="A281" s="853"/>
      <c r="B281" s="1375"/>
      <c r="C281" s="1375"/>
      <c r="D281" s="1375"/>
      <c r="E281" s="1375"/>
      <c r="F281" s="1375"/>
      <c r="G281" s="1375"/>
      <c r="H281" s="1375"/>
      <c r="I281" s="1375"/>
      <c r="J281" s="1375"/>
      <c r="K281" s="1375"/>
      <c r="L281" s="1375"/>
      <c r="M281" s="1375"/>
      <c r="N281" s="862"/>
      <c r="O281" s="629"/>
      <c r="P281" s="629"/>
      <c r="Q281" s="629"/>
      <c r="R281" s="629"/>
      <c r="S281" s="629"/>
      <c r="T281" s="629"/>
      <c r="U281" s="629"/>
      <c r="V281" s="629"/>
      <c r="W281" s="629"/>
      <c r="X281" s="629"/>
      <c r="Y281" s="629"/>
      <c r="Z281" s="629"/>
      <c r="AA281" s="629"/>
      <c r="AB281" s="630"/>
      <c r="AK281" s="734"/>
    </row>
    <row r="282" spans="1:45" ht="19.95" customHeight="1">
      <c r="A282" s="853"/>
      <c r="B282" s="1375"/>
      <c r="C282" s="1375"/>
      <c r="D282" s="1375"/>
      <c r="E282" s="1375"/>
      <c r="F282" s="1375"/>
      <c r="G282" s="1375"/>
      <c r="H282" s="1375"/>
      <c r="I282" s="1375"/>
      <c r="J282" s="1375"/>
      <c r="K282" s="1375"/>
      <c r="L282" s="1375"/>
      <c r="M282" s="1375"/>
      <c r="N282" s="862"/>
      <c r="O282" s="629"/>
      <c r="P282" s="629"/>
      <c r="Q282" s="629"/>
      <c r="R282" s="629"/>
      <c r="S282" s="629"/>
      <c r="T282" s="629"/>
      <c r="U282" s="629"/>
      <c r="V282" s="629"/>
      <c r="W282" s="629"/>
      <c r="X282" s="629"/>
      <c r="Y282" s="629"/>
      <c r="Z282" s="629"/>
      <c r="AA282" s="629"/>
      <c r="AB282" s="630"/>
    </row>
    <row r="283" spans="1:45" ht="19.95" customHeight="1">
      <c r="A283" s="853"/>
      <c r="B283" s="1375"/>
      <c r="C283" s="1375"/>
      <c r="D283" s="1375"/>
      <c r="E283" s="1375"/>
      <c r="F283" s="1375"/>
      <c r="G283" s="1375"/>
      <c r="H283" s="1375"/>
      <c r="I283" s="1375"/>
      <c r="J283" s="1375"/>
      <c r="K283" s="1375"/>
      <c r="L283" s="1375"/>
      <c r="M283" s="1375"/>
      <c r="N283" s="862"/>
      <c r="O283" s="629"/>
      <c r="P283" s="629"/>
      <c r="Q283" s="629"/>
      <c r="R283" s="629"/>
      <c r="S283" s="629"/>
      <c r="T283" s="629"/>
      <c r="U283" s="629"/>
      <c r="V283" s="629"/>
      <c r="W283" s="629"/>
      <c r="X283" s="629"/>
      <c r="Y283" s="629"/>
      <c r="Z283" s="629"/>
      <c r="AA283" s="629"/>
      <c r="AB283" s="630"/>
    </row>
    <row r="284" spans="1:45" ht="19.95" customHeight="1">
      <c r="A284" s="853"/>
      <c r="B284" s="1375"/>
      <c r="C284" s="1375"/>
      <c r="D284" s="1375"/>
      <c r="E284" s="1375"/>
      <c r="F284" s="1375"/>
      <c r="G284" s="1375"/>
      <c r="H284" s="1375"/>
      <c r="I284" s="1375"/>
      <c r="J284" s="1375"/>
      <c r="K284" s="1375"/>
      <c r="L284" s="1375"/>
      <c r="M284" s="1375"/>
      <c r="N284" s="862"/>
      <c r="O284" s="629"/>
      <c r="P284" s="629"/>
      <c r="Q284" s="629"/>
      <c r="R284" s="629"/>
      <c r="S284" s="629"/>
      <c r="T284" s="629"/>
      <c r="U284" s="629"/>
      <c r="V284" s="629"/>
      <c r="W284" s="629"/>
      <c r="X284" s="629"/>
      <c r="Y284" s="629"/>
      <c r="Z284" s="629"/>
      <c r="AA284" s="629"/>
      <c r="AB284" s="630"/>
    </row>
    <row r="285" spans="1:45" ht="4.95" customHeight="1" thickBot="1">
      <c r="A285" s="853"/>
      <c r="B285" s="629"/>
      <c r="C285" s="629"/>
      <c r="D285" s="629"/>
      <c r="E285" s="629"/>
      <c r="F285" s="629"/>
      <c r="G285" s="629"/>
      <c r="H285" s="629"/>
      <c r="I285" s="629"/>
      <c r="J285" s="629"/>
      <c r="K285" s="629"/>
      <c r="L285" s="629"/>
      <c r="M285" s="629"/>
      <c r="N285" s="862"/>
      <c r="O285" s="629"/>
      <c r="P285" s="629"/>
      <c r="Q285" s="629"/>
      <c r="R285" s="629"/>
      <c r="S285" s="629"/>
      <c r="T285" s="629"/>
      <c r="U285" s="629"/>
      <c r="V285" s="629"/>
      <c r="W285" s="629"/>
      <c r="X285" s="629"/>
      <c r="Y285" s="629"/>
      <c r="Z285" s="629"/>
      <c r="AA285" s="629"/>
      <c r="AB285" s="630"/>
    </row>
    <row r="286" spans="1:45" ht="25.05" customHeight="1" thickBot="1">
      <c r="A286" s="855"/>
      <c r="B286" s="1413" t="s">
        <v>2503</v>
      </c>
      <c r="C286" s="1414"/>
      <c r="D286" s="1414"/>
      <c r="E286" s="1414"/>
      <c r="F286" s="1414"/>
      <c r="G286" s="1414"/>
      <c r="H286" s="1414"/>
      <c r="I286" s="1414"/>
      <c r="J286" s="1414"/>
      <c r="K286" s="1414"/>
      <c r="L286" s="1414"/>
      <c r="M286" s="1415"/>
      <c r="N286" s="862"/>
      <c r="O286" s="629"/>
      <c r="P286" s="629"/>
      <c r="Q286" s="629"/>
      <c r="R286" s="629"/>
      <c r="S286" s="629"/>
      <c r="T286" s="629"/>
      <c r="U286" s="629"/>
      <c r="V286" s="629"/>
      <c r="W286" s="629"/>
      <c r="X286" s="629"/>
      <c r="Y286" s="629"/>
      <c r="Z286" s="629"/>
      <c r="AA286" s="629"/>
      <c r="AB286" s="630"/>
      <c r="AK286" s="894" t="str">
        <f>B286</f>
        <v>I affirm your loneliness expresses your need for connection.</v>
      </c>
      <c r="AQ286" s="892" t="str">
        <f>IF($B$286=$AK$287,AQ287,IF($B$286=$AK$288,AQ288,IF($B$286=$AK$289,AQ289,IF($B$286=$AK$290,AQ290,IF($B$286=$AK$291,AQ291,"")))))</f>
        <v>We must outlaw historic discrimination so minorities can integrate into society.</v>
      </c>
      <c r="AS286" s="893" t="str">
        <f>IF($B$286=$AK$287,AS287,IF($B$286=$AK$288,AS288,IF($B$286=$AK$289,AS289,IF($B$286=$AK$290,AS290,IF($B$286=$AK$291,AS291,"")))))</f>
        <v>We must guard the social cohesion of our families to ensure we stay connected.</v>
      </c>
    </row>
    <row r="287" spans="1:45" ht="15" customHeight="1">
      <c r="A287" s="853"/>
      <c r="B287" s="1389" t="str">
        <f>AQ286</f>
        <v>We must outlaw historic discrimination so minorities can integrate into society.</v>
      </c>
      <c r="C287" s="1389"/>
      <c r="D287" s="1389"/>
      <c r="E287" s="1389"/>
      <c r="F287" s="1389"/>
      <c r="G287" s="1389"/>
      <c r="H287" s="1424" t="str">
        <f>AS286</f>
        <v>We must guard the social cohesion of our families to ensure we stay connected.</v>
      </c>
      <c r="I287" s="1424"/>
      <c r="J287" s="1424"/>
      <c r="K287" s="1424"/>
      <c r="L287" s="1424"/>
      <c r="M287" s="1424"/>
      <c r="N287" s="862"/>
      <c r="O287" s="629"/>
      <c r="P287" s="629"/>
      <c r="Q287" s="629"/>
      <c r="R287" s="629"/>
      <c r="S287" s="629"/>
      <c r="T287" s="629"/>
      <c r="U287" s="629"/>
      <c r="V287" s="629"/>
      <c r="W287" s="629"/>
      <c r="X287" s="629"/>
      <c r="Y287" s="629"/>
      <c r="Z287" s="629"/>
      <c r="AA287" s="629"/>
      <c r="AB287" s="630"/>
      <c r="AK287" s="142" t="s">
        <v>2501</v>
      </c>
      <c r="AQ287" s="46" t="s">
        <v>2506</v>
      </c>
      <c r="AS287" s="46" t="s">
        <v>2508</v>
      </c>
    </row>
    <row r="288" spans="1:45" ht="15" customHeight="1">
      <c r="A288" s="853"/>
      <c r="B288" s="1390"/>
      <c r="C288" s="1390"/>
      <c r="D288" s="1390"/>
      <c r="E288" s="1390"/>
      <c r="F288" s="1390"/>
      <c r="G288" s="1390"/>
      <c r="H288" s="1425"/>
      <c r="I288" s="1425"/>
      <c r="J288" s="1425"/>
      <c r="K288" s="1425"/>
      <c r="L288" s="1425"/>
      <c r="M288" s="1425"/>
      <c r="N288" s="862"/>
      <c r="O288" s="629"/>
      <c r="P288" s="629"/>
      <c r="Q288" s="629"/>
      <c r="R288" s="629"/>
      <c r="S288" s="629"/>
      <c r="T288" s="629"/>
      <c r="U288" s="629"/>
      <c r="V288" s="629"/>
      <c r="W288" s="629"/>
      <c r="X288" s="629"/>
      <c r="Y288" s="629"/>
      <c r="Z288" s="629"/>
      <c r="AA288" s="629"/>
      <c r="AB288" s="630"/>
      <c r="AK288" s="142" t="s">
        <v>2502</v>
      </c>
      <c r="AQ288" s="46" t="s">
        <v>2505</v>
      </c>
      <c r="AS288" s="46" t="s">
        <v>2507</v>
      </c>
    </row>
    <row r="289" spans="1:45" ht="15" customHeight="1">
      <c r="A289" s="853"/>
      <c r="B289" s="1390"/>
      <c r="C289" s="1390"/>
      <c r="D289" s="1390"/>
      <c r="E289" s="1390"/>
      <c r="F289" s="1390"/>
      <c r="G289" s="1390"/>
      <c r="H289" s="1425"/>
      <c r="I289" s="1425"/>
      <c r="J289" s="1425"/>
      <c r="K289" s="1425"/>
      <c r="L289" s="1425"/>
      <c r="M289" s="1425"/>
      <c r="N289" s="862"/>
      <c r="O289" s="629"/>
      <c r="P289" s="629"/>
      <c r="Q289" s="629"/>
      <c r="R289" s="629"/>
      <c r="S289" s="629"/>
      <c r="T289" s="629"/>
      <c r="U289" s="629"/>
      <c r="V289" s="629"/>
      <c r="W289" s="629"/>
      <c r="X289" s="629"/>
      <c r="Y289" s="629"/>
      <c r="Z289" s="629"/>
      <c r="AA289" s="629"/>
      <c r="AB289" s="630"/>
      <c r="AK289" s="142" t="s">
        <v>2503</v>
      </c>
      <c r="AQ289" s="46" t="s">
        <v>3193</v>
      </c>
      <c r="AS289" s="46" t="s">
        <v>2509</v>
      </c>
    </row>
    <row r="290" spans="1:45" ht="15" customHeight="1">
      <c r="A290" s="853"/>
      <c r="B290" s="1390"/>
      <c r="C290" s="1390"/>
      <c r="D290" s="1390"/>
      <c r="E290" s="1390"/>
      <c r="F290" s="1390"/>
      <c r="G290" s="1390"/>
      <c r="H290" s="1425"/>
      <c r="I290" s="1425"/>
      <c r="J290" s="1425"/>
      <c r="K290" s="1425"/>
      <c r="L290" s="1425"/>
      <c r="M290" s="1425"/>
      <c r="N290" s="862"/>
      <c r="O290" s="629"/>
      <c r="P290" s="629"/>
      <c r="Q290" s="629"/>
      <c r="R290" s="629"/>
      <c r="S290" s="629"/>
      <c r="T290" s="629"/>
      <c r="U290" s="629"/>
      <c r="V290" s="629"/>
      <c r="W290" s="629"/>
      <c r="X290" s="629"/>
      <c r="Y290" s="629"/>
      <c r="Z290" s="629"/>
      <c r="AA290" s="629"/>
      <c r="AB290" s="630"/>
      <c r="AK290" s="142" t="s">
        <v>2510</v>
      </c>
      <c r="AQ290" s="46" t="s">
        <v>2511</v>
      </c>
      <c r="AS290" s="46" t="s">
        <v>2512</v>
      </c>
    </row>
    <row r="291" spans="1:45" ht="15" customHeight="1">
      <c r="A291" s="853"/>
      <c r="B291" s="1390"/>
      <c r="C291" s="1390"/>
      <c r="D291" s="1390"/>
      <c r="E291" s="1390"/>
      <c r="F291" s="1390"/>
      <c r="G291" s="1390"/>
      <c r="H291" s="1425"/>
      <c r="I291" s="1425"/>
      <c r="J291" s="1425"/>
      <c r="K291" s="1425"/>
      <c r="L291" s="1425"/>
      <c r="M291" s="1425"/>
      <c r="N291" s="862"/>
      <c r="O291" s="629"/>
      <c r="P291" s="629"/>
      <c r="Q291" s="629"/>
      <c r="R291" s="629"/>
      <c r="S291" s="629"/>
      <c r="T291" s="629"/>
      <c r="U291" s="629"/>
      <c r="V291" s="629"/>
      <c r="W291" s="629"/>
      <c r="X291" s="629"/>
      <c r="Y291" s="629"/>
      <c r="Z291" s="629"/>
      <c r="AA291" s="629"/>
      <c r="AB291" s="630"/>
      <c r="AK291" s="142" t="s">
        <v>2504</v>
      </c>
      <c r="AQ291" s="46" t="s">
        <v>2513</v>
      </c>
      <c r="AS291" s="46" t="s">
        <v>2514</v>
      </c>
    </row>
    <row r="292" spans="1:45" ht="25.05" customHeight="1">
      <c r="A292" s="853"/>
      <c r="B292" s="629"/>
      <c r="C292" s="629"/>
      <c r="D292" s="629"/>
      <c r="E292" s="629"/>
      <c r="F292" s="629"/>
      <c r="G292" s="629"/>
      <c r="H292" s="629"/>
      <c r="I292" s="629"/>
      <c r="J292" s="629"/>
      <c r="K292" s="629"/>
      <c r="L292" s="629"/>
      <c r="M292" s="629"/>
      <c r="N292" s="862"/>
      <c r="O292" s="629"/>
      <c r="P292" s="629"/>
      <c r="Q292" s="629"/>
      <c r="R292" s="629"/>
      <c r="S292" s="629"/>
      <c r="T292" s="629"/>
      <c r="U292" s="629"/>
      <c r="V292" s="629"/>
      <c r="W292" s="629"/>
      <c r="X292" s="629"/>
      <c r="Y292" s="629"/>
      <c r="Z292" s="629"/>
      <c r="AA292" s="629"/>
      <c r="AB292" s="630"/>
    </row>
    <row r="293" spans="1:45" ht="19.95" customHeight="1">
      <c r="A293" s="858" t="s">
        <v>2469</v>
      </c>
      <c r="B293" s="632"/>
      <c r="C293" s="629"/>
      <c r="D293" s="629"/>
      <c r="E293" s="629"/>
      <c r="F293" s="629"/>
      <c r="G293" s="629"/>
      <c r="H293" s="629"/>
      <c r="I293" s="629"/>
      <c r="J293" s="629"/>
      <c r="K293" s="629"/>
      <c r="L293" s="629"/>
      <c r="M293" s="629"/>
      <c r="N293" s="862"/>
      <c r="O293" s="629"/>
      <c r="P293" s="629"/>
      <c r="Q293" s="629"/>
      <c r="R293" s="629"/>
      <c r="S293" s="629"/>
      <c r="T293" s="629"/>
      <c r="U293" s="629"/>
      <c r="V293" s="629"/>
      <c r="W293" s="629"/>
      <c r="X293" s="629"/>
      <c r="Y293" s="629"/>
      <c r="Z293" s="629"/>
      <c r="AA293" s="629"/>
      <c r="AB293" s="630"/>
    </row>
    <row r="294" spans="1:45" ht="19.95" customHeight="1">
      <c r="A294" s="853"/>
      <c r="B294" s="1375" t="str">
        <f>AI294</f>
        <v>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v>
      </c>
      <c r="C294" s="1375"/>
      <c r="D294" s="1375"/>
      <c r="E294" s="1375"/>
      <c r="F294" s="1375"/>
      <c r="G294" s="1375"/>
      <c r="H294" s="1375"/>
      <c r="I294" s="1375"/>
      <c r="J294" s="1375"/>
      <c r="K294" s="1375"/>
      <c r="L294" s="1375"/>
      <c r="M294" s="1375"/>
      <c r="N294" s="862"/>
      <c r="O294" s="629"/>
      <c r="P294" s="629"/>
      <c r="Q294" s="629"/>
      <c r="R294" s="629"/>
      <c r="S294" s="629"/>
      <c r="T294" s="629"/>
      <c r="U294" s="629"/>
      <c r="V294" s="629"/>
      <c r="W294" s="629"/>
      <c r="X294" s="629"/>
      <c r="Y294" s="629"/>
      <c r="Z294" s="629"/>
      <c r="AA294" s="629"/>
      <c r="AB294" s="630"/>
      <c r="AI294" s="459" t="str">
        <f>IF(OR(H$113="",H$115=""),AK295,CONCATENATE(AK294,AL294,AM294,AN294,AO294,AP294,AQ294,AR294,AS294,AT294,AU294,AV294,AW294,AX294))</f>
        <v>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v>
      </c>
      <c r="AK294" s="465" t="s">
        <v>2131</v>
      </c>
      <c r="AL294" s="2" t="str">
        <f>AN1299</f>
        <v/>
      </c>
      <c r="AM294" s="465" t="s">
        <v>2132</v>
      </c>
      <c r="AN294" s="2" t="str">
        <f>AP1299</f>
        <v/>
      </c>
      <c r="AO294" s="465" t="s">
        <v>2133</v>
      </c>
      <c r="AP294" s="2" t="str">
        <f>AO1299</f>
        <v/>
      </c>
      <c r="AQ294" s="465" t="s">
        <v>2132</v>
      </c>
      <c r="AR294" s="2" t="str">
        <f>AQ1299</f>
        <v/>
      </c>
      <c r="AS294" s="465" t="s">
        <v>2134</v>
      </c>
    </row>
    <row r="295" spans="1:45" ht="19.95" customHeight="1">
      <c r="A295" s="853"/>
      <c r="B295" s="1375"/>
      <c r="C295" s="1375"/>
      <c r="D295" s="1375"/>
      <c r="E295" s="1375"/>
      <c r="F295" s="1375"/>
      <c r="G295" s="1375"/>
      <c r="H295" s="1375"/>
      <c r="I295" s="1375"/>
      <c r="J295" s="1375"/>
      <c r="K295" s="1375"/>
      <c r="L295" s="1375"/>
      <c r="M295" s="1375"/>
      <c r="N295" s="862"/>
      <c r="O295" s="629"/>
      <c r="P295" s="629"/>
      <c r="Q295" s="629"/>
      <c r="R295" s="629"/>
      <c r="S295" s="629"/>
      <c r="T295" s="629"/>
      <c r="U295" s="629"/>
      <c r="V295" s="629"/>
      <c r="W295" s="629"/>
      <c r="X295" s="629"/>
      <c r="Y295" s="629"/>
      <c r="Z295" s="629"/>
      <c r="AA295" s="629"/>
      <c r="AB295" s="630"/>
      <c r="AK295" s="734" t="s">
        <v>3180</v>
      </c>
    </row>
    <row r="296" spans="1:45" ht="19.95" customHeight="1">
      <c r="A296" s="853"/>
      <c r="B296" s="1375"/>
      <c r="C296" s="1375"/>
      <c r="D296" s="1375"/>
      <c r="E296" s="1375"/>
      <c r="F296" s="1375"/>
      <c r="G296" s="1375"/>
      <c r="H296" s="1375"/>
      <c r="I296" s="1375"/>
      <c r="J296" s="1375"/>
      <c r="K296" s="1375"/>
      <c r="L296" s="1375"/>
      <c r="M296" s="1375"/>
      <c r="N296" s="862"/>
      <c r="O296" s="629"/>
      <c r="P296" s="629"/>
      <c r="Q296" s="629"/>
      <c r="R296" s="629"/>
      <c r="S296" s="629"/>
      <c r="T296" s="629"/>
      <c r="U296" s="629"/>
      <c r="V296" s="629"/>
      <c r="W296" s="629"/>
      <c r="X296" s="629"/>
      <c r="Y296" s="629"/>
      <c r="Z296" s="629"/>
      <c r="AA296" s="629"/>
      <c r="AB296" s="630"/>
    </row>
    <row r="297" spans="1:45" ht="19.95" customHeight="1">
      <c r="A297" s="853"/>
      <c r="B297" s="1375"/>
      <c r="C297" s="1375"/>
      <c r="D297" s="1375"/>
      <c r="E297" s="1375"/>
      <c r="F297" s="1375"/>
      <c r="G297" s="1375"/>
      <c r="H297" s="1375"/>
      <c r="I297" s="1375"/>
      <c r="J297" s="1375"/>
      <c r="K297" s="1375"/>
      <c r="L297" s="1375"/>
      <c r="M297" s="1375"/>
      <c r="N297" s="862"/>
      <c r="O297" s="629"/>
      <c r="P297" s="629"/>
      <c r="Q297" s="629"/>
      <c r="R297" s="629"/>
      <c r="S297" s="629"/>
      <c r="T297" s="629"/>
      <c r="U297" s="629"/>
      <c r="V297" s="629"/>
      <c r="W297" s="629"/>
      <c r="X297" s="629"/>
      <c r="Y297" s="629"/>
      <c r="Z297" s="629"/>
      <c r="AA297" s="629"/>
      <c r="AB297" s="630"/>
    </row>
    <row r="298" spans="1:45" ht="19.95" customHeight="1">
      <c r="A298" s="853"/>
      <c r="B298" s="1375"/>
      <c r="C298" s="1375"/>
      <c r="D298" s="1375"/>
      <c r="E298" s="1375"/>
      <c r="F298" s="1375"/>
      <c r="G298" s="1375"/>
      <c r="H298" s="1375"/>
      <c r="I298" s="1375"/>
      <c r="J298" s="1375"/>
      <c r="K298" s="1375"/>
      <c r="L298" s="1375"/>
      <c r="M298" s="1375"/>
      <c r="N298" s="862"/>
      <c r="O298" s="629"/>
      <c r="P298" s="629"/>
      <c r="Q298" s="629"/>
      <c r="R298" s="629"/>
      <c r="S298" s="629"/>
      <c r="T298" s="629"/>
      <c r="U298" s="629"/>
      <c r="V298" s="629"/>
      <c r="W298" s="629"/>
      <c r="X298" s="629"/>
      <c r="Y298" s="629"/>
      <c r="Z298" s="629"/>
      <c r="AA298" s="629"/>
      <c r="AB298" s="630"/>
    </row>
    <row r="299" spans="1:45" ht="10.050000000000001" customHeight="1">
      <c r="A299" s="853"/>
      <c r="B299" s="634"/>
      <c r="C299" s="634"/>
      <c r="D299" s="634"/>
      <c r="E299" s="634"/>
      <c r="F299" s="634"/>
      <c r="G299" s="634"/>
      <c r="H299" s="634"/>
      <c r="I299" s="634"/>
      <c r="J299" s="634"/>
      <c r="K299" s="634"/>
      <c r="L299" s="634"/>
      <c r="M299" s="634"/>
      <c r="N299" s="862"/>
      <c r="O299" s="629"/>
      <c r="P299" s="629"/>
      <c r="Q299" s="629"/>
      <c r="R299" s="629"/>
      <c r="S299" s="629"/>
      <c r="T299" s="629"/>
      <c r="U299" s="629"/>
      <c r="V299" s="629"/>
      <c r="W299" s="629"/>
      <c r="X299" s="629"/>
      <c r="Y299" s="629"/>
      <c r="Z299" s="629"/>
      <c r="AA299" s="629"/>
      <c r="AB299" s="630"/>
    </row>
    <row r="300" spans="1:45" ht="19.95" customHeight="1">
      <c r="A300" s="853"/>
      <c r="B300" s="1427" t="str">
        <f>AI301</f>
        <v>They take away our rights and insist we serve big business!</v>
      </c>
      <c r="C300" s="1427"/>
      <c r="D300" s="1427"/>
      <c r="E300" s="1427"/>
      <c r="F300" s="634"/>
      <c r="G300" s="634"/>
      <c r="H300" s="634"/>
      <c r="I300" s="634"/>
      <c r="J300" s="1427" t="str">
        <f>AI304</f>
        <v>They take away our liberty and insist we serve big government!</v>
      </c>
      <c r="K300" s="1427"/>
      <c r="L300" s="1427"/>
      <c r="M300" s="1427"/>
      <c r="N300" s="862"/>
      <c r="O300" s="629"/>
      <c r="P300" s="629"/>
      <c r="Q300" s="629"/>
      <c r="R300" s="629"/>
      <c r="S300" s="629"/>
      <c r="T300" s="629"/>
      <c r="U300" s="629"/>
      <c r="V300" s="629"/>
      <c r="W300" s="629"/>
      <c r="X300" s="629"/>
      <c r="Y300" s="629"/>
      <c r="Z300" s="629"/>
      <c r="AA300" s="629"/>
      <c r="AB300" s="630"/>
      <c r="AI300" s="673" t="s">
        <v>2488</v>
      </c>
    </row>
    <row r="301" spans="1:45" ht="19.95" customHeight="1">
      <c r="A301" s="853"/>
      <c r="B301" s="1427"/>
      <c r="C301" s="1427"/>
      <c r="D301" s="1427"/>
      <c r="E301" s="1427"/>
      <c r="F301" s="634"/>
      <c r="G301" s="634"/>
      <c r="H301" s="634"/>
      <c r="I301" s="634"/>
      <c r="J301" s="1427"/>
      <c r="K301" s="1427"/>
      <c r="L301" s="1427"/>
      <c r="M301" s="1427"/>
      <c r="N301" s="862"/>
      <c r="O301" s="629"/>
      <c r="P301" s="629"/>
      <c r="Q301" s="629"/>
      <c r="R301" s="629"/>
      <c r="S301" s="629"/>
      <c r="T301" s="629"/>
      <c r="U301" s="629"/>
      <c r="V301" s="629"/>
      <c r="W301" s="629"/>
      <c r="X301" s="629"/>
      <c r="Y301" s="629"/>
      <c r="Z301" s="629"/>
      <c r="AA301" s="629"/>
      <c r="AB301" s="630"/>
      <c r="AI301" s="37" t="str">
        <f>IF($H$115="",AQ301,CONCATENATE(AK301,AL301,AM301,AN301,AO301))</f>
        <v>They take away our rights and insist we serve big business!</v>
      </c>
      <c r="AK301" s="677" t="s">
        <v>2491</v>
      </c>
      <c r="AL301" s="2" t="str">
        <f>$T$1300</f>
        <v/>
      </c>
      <c r="AM301" s="677" t="s">
        <v>2492</v>
      </c>
      <c r="AN301" s="2" t="str">
        <f>$AO$1300</f>
        <v/>
      </c>
      <c r="AO301" s="677" t="s">
        <v>706</v>
      </c>
      <c r="AQ301" s="895" t="s">
        <v>3184</v>
      </c>
    </row>
    <row r="302" spans="1:45" ht="19.95" customHeight="1">
      <c r="A302" s="853"/>
      <c r="B302" s="1427"/>
      <c r="C302" s="1427"/>
      <c r="D302" s="1427"/>
      <c r="E302" s="1427"/>
      <c r="F302" s="634"/>
      <c r="G302" s="634"/>
      <c r="H302" s="634"/>
      <c r="I302" s="634"/>
      <c r="J302" s="1427" t="s">
        <v>2486</v>
      </c>
      <c r="K302" s="1427"/>
      <c r="L302" s="1427"/>
      <c r="M302" s="1427"/>
      <c r="N302" s="862"/>
      <c r="O302" s="629"/>
      <c r="P302" s="629"/>
      <c r="Q302" s="629"/>
      <c r="R302" s="629"/>
      <c r="S302" s="629"/>
      <c r="T302" s="629"/>
      <c r="U302" s="629"/>
      <c r="V302" s="629"/>
      <c r="W302" s="629"/>
      <c r="X302" s="629"/>
      <c r="Y302" s="629"/>
      <c r="Z302" s="629"/>
      <c r="AA302" s="629"/>
      <c r="AB302" s="630"/>
      <c r="AI302" s="37" t="str">
        <f>IF($H$115="",AQ302,CONCATENATE(AK302,AL302,AM302,AN302,AO302))</f>
        <v>I want to better understand the needs of conservatives and Trumpists.</v>
      </c>
      <c r="AK302" s="678" t="s">
        <v>2493</v>
      </c>
      <c r="AL302" s="2" t="str">
        <f>$AP$1300</f>
        <v/>
      </c>
      <c r="AM302" s="678" t="s">
        <v>2494</v>
      </c>
      <c r="AN302" s="2" t="str">
        <f>$AI$1300</f>
        <v/>
      </c>
      <c r="AO302" s="678" t="s">
        <v>706</v>
      </c>
      <c r="AQ302" s="895" t="s">
        <v>3181</v>
      </c>
    </row>
    <row r="303" spans="1:45" ht="19.95" customHeight="1">
      <c r="A303" s="853"/>
      <c r="B303" s="1427"/>
      <c r="C303" s="1427"/>
      <c r="D303" s="1427"/>
      <c r="E303" s="1427"/>
      <c r="F303" s="634"/>
      <c r="G303" s="634"/>
      <c r="H303" s="634"/>
      <c r="I303" s="634"/>
      <c r="J303" s="1427"/>
      <c r="K303" s="1427"/>
      <c r="L303" s="1427"/>
      <c r="M303" s="1427"/>
      <c r="N303" s="862"/>
      <c r="O303" s="629"/>
      <c r="P303" s="629"/>
      <c r="Q303" s="629"/>
      <c r="R303" s="629"/>
      <c r="S303" s="629"/>
      <c r="T303" s="629"/>
      <c r="U303" s="629"/>
      <c r="V303" s="629"/>
      <c r="W303" s="629"/>
      <c r="X303" s="629"/>
      <c r="Y303" s="629"/>
      <c r="Z303" s="629"/>
      <c r="AA303" s="629"/>
      <c r="AB303" s="630"/>
      <c r="AI303" s="674" t="s">
        <v>2489</v>
      </c>
    </row>
    <row r="304" spans="1:45" ht="25.05" customHeight="1">
      <c r="A304" s="853"/>
      <c r="B304" s="634"/>
      <c r="C304" s="634"/>
      <c r="D304" s="634"/>
      <c r="E304" s="634"/>
      <c r="F304" s="634"/>
      <c r="G304" s="634"/>
      <c r="H304" s="634"/>
      <c r="I304" s="634"/>
      <c r="J304" s="634"/>
      <c r="K304" s="634"/>
      <c r="L304" s="634"/>
      <c r="M304" s="634"/>
      <c r="N304" s="862"/>
      <c r="O304" s="629"/>
      <c r="P304" s="629"/>
      <c r="Q304" s="629"/>
      <c r="R304" s="629"/>
      <c r="S304" s="629"/>
      <c r="T304" s="629"/>
      <c r="U304" s="629"/>
      <c r="V304" s="629"/>
      <c r="W304" s="629"/>
      <c r="X304" s="629"/>
      <c r="Y304" s="629"/>
      <c r="Z304" s="629"/>
      <c r="AA304" s="629"/>
      <c r="AB304" s="630"/>
      <c r="AI304" s="37" t="str">
        <f>IF($H$115="",AQ304,CONCATENATE(AK304,AL304,AM304,AN304,AO304))</f>
        <v>They take away our liberty and insist we serve big government!</v>
      </c>
      <c r="AK304" s="677" t="s">
        <v>2491</v>
      </c>
      <c r="AL304" s="2" t="str">
        <f>$U$1300</f>
        <v/>
      </c>
      <c r="AM304" s="677" t="s">
        <v>2492</v>
      </c>
      <c r="AN304" s="2" t="str">
        <f>$AN$1300</f>
        <v/>
      </c>
      <c r="AO304" s="677" t="s">
        <v>706</v>
      </c>
      <c r="AQ304" s="895" t="s">
        <v>3183</v>
      </c>
    </row>
    <row r="305" spans="1:45" ht="19.95" customHeight="1">
      <c r="A305" s="853"/>
      <c r="B305" s="1427" t="str">
        <f>AI302</f>
        <v>I want to better understand the needs of conservatives and Trumpists.</v>
      </c>
      <c r="C305" s="1427"/>
      <c r="D305" s="1427"/>
      <c r="E305" s="1427"/>
      <c r="F305" s="634"/>
      <c r="G305" s="634"/>
      <c r="H305" s="634"/>
      <c r="I305" s="634"/>
      <c r="J305" s="1427" t="str">
        <f>AI305</f>
        <v>I want to better understand the needs of liberals and progressives.</v>
      </c>
      <c r="K305" s="1427"/>
      <c r="L305" s="1427"/>
      <c r="M305" s="1427"/>
      <c r="N305" s="862"/>
      <c r="O305" s="629"/>
      <c r="P305" s="629"/>
      <c r="Q305" s="629"/>
      <c r="R305" s="629"/>
      <c r="S305" s="629"/>
      <c r="T305" s="629"/>
      <c r="U305" s="629"/>
      <c r="V305" s="629"/>
      <c r="W305" s="629"/>
      <c r="X305" s="629"/>
      <c r="Y305" s="629"/>
      <c r="Z305" s="629"/>
      <c r="AA305" s="629"/>
      <c r="AB305" s="630"/>
      <c r="AI305" s="37" t="str">
        <f>IF($H$115="",AQ305,CONCATENATE(AK305,AL305,AM305,AN305,AO305))</f>
        <v>I want to better understand the needs of liberals and progressives.</v>
      </c>
      <c r="AK305" s="678" t="s">
        <v>2493</v>
      </c>
      <c r="AL305" s="2" t="str">
        <f>$AQ$1300</f>
        <v/>
      </c>
      <c r="AM305" s="678" t="s">
        <v>2494</v>
      </c>
      <c r="AN305" s="2" t="str">
        <f>$AH$1300</f>
        <v/>
      </c>
      <c r="AO305" s="678" t="s">
        <v>706</v>
      </c>
      <c r="AQ305" s="895" t="s">
        <v>3182</v>
      </c>
    </row>
    <row r="306" spans="1:45" ht="19.95" customHeight="1">
      <c r="A306" s="853"/>
      <c r="B306" s="1427"/>
      <c r="C306" s="1427"/>
      <c r="D306" s="1427"/>
      <c r="E306" s="1427"/>
      <c r="F306" s="633"/>
      <c r="G306" s="633"/>
      <c r="H306" s="633"/>
      <c r="I306" s="633"/>
      <c r="J306" s="1427"/>
      <c r="K306" s="1427"/>
      <c r="L306" s="1427"/>
      <c r="M306" s="1427"/>
      <c r="N306" s="862"/>
      <c r="O306" s="629"/>
      <c r="P306" s="629"/>
      <c r="Q306" s="629"/>
      <c r="R306" s="629"/>
      <c r="S306" s="629"/>
      <c r="T306" s="629"/>
      <c r="U306" s="629"/>
      <c r="V306" s="629"/>
      <c r="W306" s="629"/>
      <c r="X306" s="629"/>
      <c r="Y306" s="629"/>
      <c r="Z306" s="629"/>
      <c r="AA306" s="629"/>
      <c r="AB306" s="630"/>
    </row>
    <row r="307" spans="1:45" ht="19.95" customHeight="1">
      <c r="A307" s="855"/>
      <c r="B307" s="1427"/>
      <c r="C307" s="1427"/>
      <c r="D307" s="1427"/>
      <c r="E307" s="1427"/>
      <c r="F307" s="633"/>
      <c r="G307" s="633"/>
      <c r="H307" s="633"/>
      <c r="I307" s="633"/>
      <c r="J307" s="1427"/>
      <c r="K307" s="1427"/>
      <c r="L307" s="1427"/>
      <c r="M307" s="1427"/>
      <c r="N307" s="862"/>
      <c r="O307" s="629"/>
      <c r="P307" s="629"/>
      <c r="Q307" s="629"/>
      <c r="R307" s="629"/>
      <c r="S307" s="629"/>
      <c r="T307" s="629"/>
      <c r="U307" s="629"/>
      <c r="V307" s="629"/>
      <c r="W307" s="629"/>
      <c r="X307" s="629"/>
      <c r="Y307" s="629"/>
      <c r="Z307" s="629"/>
      <c r="AA307" s="629"/>
      <c r="AB307" s="630"/>
      <c r="AI307" s="37" t="str">
        <f>CONCATENATE(AK307,AL307,AM307,AN307,AO307,AP307,AQ307,AR307,AS307,AT307,AU307,AV307,AW307,AX307)</f>
        <v/>
      </c>
    </row>
    <row r="308" spans="1:45" ht="19.95" customHeight="1">
      <c r="A308" s="853"/>
      <c r="B308" s="1427"/>
      <c r="C308" s="1427"/>
      <c r="D308" s="1427"/>
      <c r="E308" s="1427"/>
      <c r="F308" s="633"/>
      <c r="G308" s="633"/>
      <c r="H308" s="633"/>
      <c r="I308" s="633"/>
      <c r="J308" s="1427"/>
      <c r="K308" s="1427"/>
      <c r="L308" s="1427"/>
      <c r="M308" s="1427"/>
      <c r="N308" s="862"/>
      <c r="O308" s="629"/>
      <c r="P308" s="629"/>
      <c r="Q308" s="629"/>
      <c r="R308" s="629"/>
      <c r="S308" s="629"/>
      <c r="T308" s="629"/>
      <c r="U308" s="629"/>
      <c r="V308" s="629"/>
      <c r="W308" s="629"/>
      <c r="X308" s="629"/>
      <c r="Y308" s="629"/>
      <c r="Z308" s="629"/>
      <c r="AA308" s="629"/>
      <c r="AB308" s="630"/>
      <c r="AI308" s="459" t="str">
        <f>CONCATENATE(AK308,AL308,AM308,AN308,AO308,AP308,AQ308,AR308,AS308,AT308,AU308,AV308,AW308,AX308)</f>
        <v>Your need  can complement their need . Together, you both move beyond alienating exaggerations to connect with each other's specific  impacted needs. You replace arguing with listening. You replace rejecting each other's needs with affirming each other's  impacted needs. You replace demanding with offering what you can do for their needs, while suggesting what they can do for yours. All with empathy and love.</v>
      </c>
      <c r="AK308" s="465" t="s">
        <v>2126</v>
      </c>
      <c r="AL308" s="2" t="str">
        <f>$AH$1300</f>
        <v/>
      </c>
      <c r="AM308" s="465" t="s">
        <v>2127</v>
      </c>
      <c r="AN308" s="2" t="str">
        <f>$AI$1300</f>
        <v/>
      </c>
      <c r="AO308" s="465" t="s">
        <v>2128</v>
      </c>
      <c r="AP308" s="2" t="str">
        <f>$D$1300</f>
        <v/>
      </c>
      <c r="AQ308" s="465" t="s">
        <v>2129</v>
      </c>
      <c r="AR308" s="2" t="str">
        <f>$D$1300</f>
        <v/>
      </c>
      <c r="AS308" s="465" t="s">
        <v>2130</v>
      </c>
    </row>
    <row r="309" spans="1:45" ht="19.95" customHeight="1">
      <c r="A309" s="853"/>
      <c r="B309" s="633"/>
      <c r="C309" s="633"/>
      <c r="D309" s="633"/>
      <c r="E309" s="633"/>
      <c r="F309" s="633"/>
      <c r="G309" s="633"/>
      <c r="H309" s="633"/>
      <c r="I309" s="633"/>
      <c r="J309" s="633"/>
      <c r="K309" s="633"/>
      <c r="L309" s="633"/>
      <c r="M309" s="633"/>
      <c r="N309" s="862"/>
      <c r="O309" s="629"/>
      <c r="P309" s="629"/>
      <c r="Q309" s="629"/>
      <c r="R309" s="629"/>
      <c r="S309" s="629"/>
      <c r="T309" s="629"/>
      <c r="U309" s="629"/>
      <c r="V309" s="629"/>
      <c r="W309" s="629"/>
      <c r="X309" s="629"/>
      <c r="Y309" s="629"/>
      <c r="Z309" s="629"/>
      <c r="AA309" s="629"/>
      <c r="AB309" s="630"/>
    </row>
    <row r="310" spans="1:45" ht="19.95" customHeight="1">
      <c r="A310" s="853"/>
      <c r="B310" s="633"/>
      <c r="C310" s="633"/>
      <c r="D310" s="633"/>
      <c r="E310" s="633"/>
      <c r="F310" s="633"/>
      <c r="G310" s="633"/>
      <c r="H310" s="633"/>
      <c r="I310" s="633"/>
      <c r="J310" s="633"/>
      <c r="K310" s="633"/>
      <c r="L310" s="633"/>
      <c r="M310" s="633"/>
      <c r="N310" s="862"/>
      <c r="O310" s="629"/>
      <c r="P310" s="629"/>
      <c r="Q310" s="629"/>
      <c r="R310" s="629"/>
      <c r="S310" s="629"/>
      <c r="T310" s="629"/>
      <c r="U310" s="629"/>
      <c r="V310" s="629"/>
      <c r="W310" s="629"/>
      <c r="X310" s="629"/>
      <c r="Y310" s="629"/>
      <c r="Z310" s="629"/>
      <c r="AA310" s="629"/>
      <c r="AB310" s="630"/>
    </row>
    <row r="311" spans="1:45" ht="10.050000000000001" customHeight="1">
      <c r="A311" s="857"/>
      <c r="B311" s="635"/>
      <c r="C311" s="635"/>
      <c r="D311" s="635"/>
      <c r="E311" s="635"/>
      <c r="F311" s="635"/>
      <c r="G311" s="635"/>
      <c r="H311" s="635"/>
      <c r="I311" s="635"/>
      <c r="J311" s="635"/>
      <c r="K311" s="635"/>
      <c r="L311" s="635"/>
      <c r="M311" s="635"/>
      <c r="N311" s="867"/>
      <c r="O311" s="635"/>
      <c r="P311" s="635"/>
      <c r="Q311" s="635"/>
      <c r="R311" s="635"/>
      <c r="S311" s="635"/>
      <c r="T311" s="635"/>
      <c r="U311" s="635"/>
      <c r="V311" s="635"/>
      <c r="W311" s="635"/>
      <c r="X311" s="635"/>
      <c r="Y311" s="635"/>
      <c r="Z311" s="635"/>
      <c r="AA311" s="635"/>
      <c r="AB311" s="636"/>
    </row>
    <row r="312" spans="1:45" ht="30" customHeight="1">
      <c r="A312" s="854" t="s">
        <v>1148</v>
      </c>
      <c r="B312" s="884" t="str">
        <f>AI312</f>
        <v>Depolarizing politics</v>
      </c>
      <c r="C312" s="884"/>
      <c r="D312" s="884"/>
      <c r="E312" s="884"/>
      <c r="F312" s="884"/>
      <c r="G312" s="884"/>
      <c r="H312" s="884"/>
      <c r="I312" s="884"/>
      <c r="J312" s="884"/>
      <c r="K312" s="884"/>
      <c r="L312" s="884"/>
      <c r="M312" s="884"/>
      <c r="N312" s="865" t="s">
        <v>1149</v>
      </c>
      <c r="O312" s="860"/>
      <c r="P312" s="1406"/>
      <c r="Q312" s="1406"/>
      <c r="R312" s="1406"/>
      <c r="S312" s="1406"/>
      <c r="T312" s="1406"/>
      <c r="U312" s="1406"/>
      <c r="V312" s="1406"/>
      <c r="W312" s="1406"/>
      <c r="X312" s="1406"/>
      <c r="Y312" s="1406"/>
      <c r="Z312" s="1406"/>
      <c r="AA312" s="1406"/>
      <c r="AB312" s="650" t="s">
        <v>1149</v>
      </c>
      <c r="AC312" s="651"/>
      <c r="AI312" s="459" t="str">
        <f>CONCATENATE(AK312,AL312,AM312)</f>
        <v>Depolarizing politics</v>
      </c>
      <c r="AK312" s="880" t="s">
        <v>3154</v>
      </c>
      <c r="AL312" s="2" t="str">
        <f>IF($H$115="","",CONCATENATE(D$1300," "))</f>
        <v/>
      </c>
      <c r="AM312" s="465" t="s">
        <v>2076</v>
      </c>
    </row>
    <row r="313" spans="1:45" ht="10.050000000000001" customHeight="1">
      <c r="A313" s="853"/>
      <c r="B313" s="629"/>
      <c r="C313" s="629"/>
      <c r="D313" s="629"/>
      <c r="E313" s="629"/>
      <c r="F313" s="629"/>
      <c r="G313" s="629"/>
      <c r="H313" s="629"/>
      <c r="I313" s="629"/>
      <c r="J313" s="629"/>
      <c r="K313" s="629"/>
      <c r="L313" s="629"/>
      <c r="M313" s="629"/>
      <c r="N313" s="862"/>
      <c r="O313" s="629"/>
      <c r="P313" s="629"/>
      <c r="Q313" s="629"/>
      <c r="R313" s="629"/>
      <c r="S313" s="629"/>
      <c r="T313" s="629"/>
      <c r="U313" s="629"/>
      <c r="V313" s="629"/>
      <c r="W313" s="629"/>
      <c r="X313" s="629"/>
      <c r="Y313" s="629"/>
      <c r="Z313" s="629"/>
      <c r="AA313" s="629"/>
      <c r="AB313" s="630"/>
      <c r="AC313" s="651"/>
    </row>
    <row r="314" spans="1:45" ht="19.95" customHeight="1">
      <c r="A314" s="853"/>
      <c r="B314" s="706" t="s">
        <v>2614</v>
      </c>
      <c r="C314" s="640"/>
      <c r="D314" s="640"/>
      <c r="E314" s="640"/>
      <c r="F314" s="640"/>
      <c r="G314" s="640"/>
      <c r="H314" s="640"/>
      <c r="I314" s="640"/>
      <c r="J314" s="640"/>
      <c r="K314" s="640"/>
      <c r="L314" s="640"/>
      <c r="M314" s="640"/>
      <c r="N314" s="862"/>
      <c r="O314" s="629"/>
      <c r="P314" s="639"/>
      <c r="Q314" s="629"/>
      <c r="R314" s="629"/>
      <c r="S314" s="629"/>
      <c r="T314" s="629"/>
      <c r="U314" s="629"/>
      <c r="V314" s="629"/>
      <c r="W314" s="629"/>
      <c r="X314" s="629"/>
      <c r="Y314" s="629"/>
      <c r="Z314" s="629"/>
      <c r="AA314" s="629"/>
      <c r="AB314" s="630"/>
    </row>
    <row r="315" spans="1:45" ht="4.95" customHeight="1">
      <c r="A315" s="853"/>
      <c r="B315" s="640"/>
      <c r="C315" s="640"/>
      <c r="D315" s="640"/>
      <c r="E315" s="640"/>
      <c r="F315" s="640"/>
      <c r="G315" s="640"/>
      <c r="H315" s="640"/>
      <c r="I315" s="640"/>
      <c r="J315" s="640"/>
      <c r="K315" s="640"/>
      <c r="L315" s="640"/>
      <c r="M315" s="640"/>
      <c r="N315" s="862"/>
      <c r="O315" s="629"/>
      <c r="P315" s="629"/>
      <c r="Q315" s="629"/>
      <c r="R315" s="629"/>
      <c r="S315" s="629"/>
      <c r="T315" s="629"/>
      <c r="U315" s="629"/>
      <c r="V315" s="629"/>
      <c r="W315" s="629"/>
      <c r="X315" s="629"/>
      <c r="Y315" s="629"/>
      <c r="Z315" s="629"/>
      <c r="AA315" s="629"/>
      <c r="AB315" s="630"/>
    </row>
    <row r="316" spans="1:45" ht="19.95" customHeight="1">
      <c r="A316" s="858" t="s">
        <v>2470</v>
      </c>
      <c r="B316" s="632"/>
      <c r="C316" s="633"/>
      <c r="D316" s="633"/>
      <c r="E316" s="633"/>
      <c r="F316" s="633"/>
      <c r="G316" s="633"/>
      <c r="H316" s="633"/>
      <c r="I316" s="633"/>
      <c r="J316" s="633"/>
      <c r="K316" s="633"/>
      <c r="L316" s="633"/>
      <c r="M316" s="633"/>
      <c r="N316" s="862"/>
      <c r="O316" s="629"/>
      <c r="P316" s="629"/>
      <c r="Q316" s="629"/>
      <c r="R316" s="629"/>
      <c r="S316" s="629"/>
      <c r="T316" s="629"/>
      <c r="U316" s="629"/>
      <c r="V316" s="629"/>
      <c r="W316" s="629"/>
      <c r="X316" s="629"/>
      <c r="Y316" s="629"/>
      <c r="Z316" s="629"/>
      <c r="AA316" s="629"/>
      <c r="AB316" s="630"/>
      <c r="AI316" s="37" t="str">
        <f>CONCATENATE(AK316,AL316,AM316,AN316,AO316,AP316,AQ316,AR316,AS316,AT316,AU316,AV316,AW316,AX316)</f>
        <v/>
      </c>
    </row>
    <row r="317" spans="1:45" ht="19.95" customHeight="1">
      <c r="A317" s="853"/>
      <c r="B317" s="1375" t="str">
        <f>AI317</f>
        <v>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v>
      </c>
      <c r="C317" s="1375"/>
      <c r="D317" s="1375"/>
      <c r="E317" s="1375"/>
      <c r="F317" s="1375"/>
      <c r="G317" s="1375"/>
      <c r="H317" s="1375"/>
      <c r="I317" s="1375"/>
      <c r="J317" s="1375"/>
      <c r="K317" s="1375"/>
      <c r="L317" s="1375"/>
      <c r="M317" s="1375"/>
      <c r="N317" s="862"/>
      <c r="O317" s="629"/>
      <c r="P317" s="629"/>
      <c r="Q317" s="629"/>
      <c r="R317" s="629"/>
      <c r="S317" s="629"/>
      <c r="T317" s="629"/>
      <c r="U317" s="629"/>
      <c r="V317" s="629"/>
      <c r="W317" s="629"/>
      <c r="X317" s="629"/>
      <c r="Y317" s="629"/>
      <c r="Z317" s="629"/>
      <c r="AA317" s="629"/>
      <c r="AB317" s="630"/>
      <c r="AI317" s="459" t="str">
        <f>IF(OR(H$113="",H$115=""),AK318,CONCATENATE(AK317,AL317,AM317,AN317,AO317,AP317,AQ317,AR317,AS317,AT317,AU317,AV317,AW317,AX317))</f>
        <v>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v>
      </c>
      <c r="AK317" s="465" t="s">
        <v>2126</v>
      </c>
      <c r="AL317" s="2" t="str">
        <f>$AH$1299</f>
        <v/>
      </c>
      <c r="AM317" s="465" t="s">
        <v>2127</v>
      </c>
      <c r="AN317" s="2" t="str">
        <f>$AI$1299</f>
        <v/>
      </c>
      <c r="AO317" s="465" t="s">
        <v>2128</v>
      </c>
      <c r="AP317" s="2" t="str">
        <f>$D$1300</f>
        <v/>
      </c>
      <c r="AQ317" s="465" t="s">
        <v>2129</v>
      </c>
      <c r="AR317" s="2" t="str">
        <f>$D$1300</f>
        <v/>
      </c>
      <c r="AS317" s="465" t="s">
        <v>2130</v>
      </c>
    </row>
    <row r="318" spans="1:45" ht="19.95" customHeight="1">
      <c r="A318" s="853"/>
      <c r="B318" s="1375"/>
      <c r="C318" s="1375"/>
      <c r="D318" s="1375"/>
      <c r="E318" s="1375"/>
      <c r="F318" s="1375"/>
      <c r="G318" s="1375"/>
      <c r="H318" s="1375"/>
      <c r="I318" s="1375"/>
      <c r="J318" s="1375"/>
      <c r="K318" s="1375"/>
      <c r="L318" s="1375"/>
      <c r="M318" s="1375"/>
      <c r="N318" s="862"/>
      <c r="O318" s="629"/>
      <c r="P318" s="629"/>
      <c r="Q318" s="629"/>
      <c r="R318" s="629"/>
      <c r="S318" s="629"/>
      <c r="T318" s="629"/>
      <c r="U318" s="629"/>
      <c r="V318" s="629"/>
      <c r="W318" s="629"/>
      <c r="X318" s="629"/>
      <c r="Y318" s="629"/>
      <c r="Z318" s="629"/>
      <c r="AA318" s="629"/>
      <c r="AB318" s="630"/>
      <c r="AK318" s="734" t="s">
        <v>3185</v>
      </c>
    </row>
    <row r="319" spans="1:45" ht="19.95" customHeight="1">
      <c r="A319" s="853"/>
      <c r="B319" s="1375"/>
      <c r="C319" s="1375"/>
      <c r="D319" s="1375"/>
      <c r="E319" s="1375"/>
      <c r="F319" s="1375"/>
      <c r="G319" s="1375"/>
      <c r="H319" s="1375"/>
      <c r="I319" s="1375"/>
      <c r="J319" s="1375"/>
      <c r="K319" s="1375"/>
      <c r="L319" s="1375"/>
      <c r="M319" s="1375"/>
      <c r="N319" s="862"/>
      <c r="O319" s="629"/>
      <c r="P319" s="629"/>
      <c r="Q319" s="629"/>
      <c r="R319" s="629"/>
      <c r="S319" s="629"/>
      <c r="T319" s="629"/>
      <c r="U319" s="629"/>
      <c r="V319" s="629"/>
      <c r="W319" s="629"/>
      <c r="X319" s="629"/>
      <c r="Y319" s="629"/>
      <c r="Z319" s="629"/>
      <c r="AA319" s="629"/>
      <c r="AB319" s="630"/>
    </row>
    <row r="320" spans="1:45" ht="19.95" customHeight="1">
      <c r="A320" s="853"/>
      <c r="B320" s="1375"/>
      <c r="C320" s="1375"/>
      <c r="D320" s="1375"/>
      <c r="E320" s="1375"/>
      <c r="F320" s="1375"/>
      <c r="G320" s="1375"/>
      <c r="H320" s="1375"/>
      <c r="I320" s="1375"/>
      <c r="J320" s="1375"/>
      <c r="K320" s="1375"/>
      <c r="L320" s="1375"/>
      <c r="M320" s="1375"/>
      <c r="N320" s="862"/>
      <c r="O320" s="629"/>
      <c r="P320" s="629"/>
      <c r="Q320" s="629"/>
      <c r="R320" s="629"/>
      <c r="S320" s="629"/>
      <c r="T320" s="629"/>
      <c r="U320" s="629"/>
      <c r="V320" s="629"/>
      <c r="W320" s="629"/>
      <c r="X320" s="629"/>
      <c r="Y320" s="629"/>
      <c r="Z320" s="629"/>
      <c r="AA320" s="629"/>
      <c r="AB320" s="630"/>
    </row>
    <row r="321" spans="1:45" ht="19.95" customHeight="1">
      <c r="A321" s="853"/>
      <c r="B321" s="1375"/>
      <c r="C321" s="1375"/>
      <c r="D321" s="1375"/>
      <c r="E321" s="1375"/>
      <c r="F321" s="1375"/>
      <c r="G321" s="1375"/>
      <c r="H321" s="1375"/>
      <c r="I321" s="1375"/>
      <c r="J321" s="1375"/>
      <c r="K321" s="1375"/>
      <c r="L321" s="1375"/>
      <c r="M321" s="1375"/>
      <c r="N321" s="862"/>
      <c r="O321" s="629"/>
      <c r="P321" s="629"/>
      <c r="Q321" s="629"/>
      <c r="R321" s="629"/>
      <c r="S321" s="629"/>
      <c r="T321" s="629"/>
      <c r="U321" s="629"/>
      <c r="V321" s="629"/>
      <c r="W321" s="629"/>
      <c r="X321" s="629"/>
      <c r="Y321" s="629"/>
      <c r="Z321" s="629"/>
      <c r="AA321" s="629"/>
      <c r="AB321" s="630"/>
    </row>
    <row r="322" spans="1:45" ht="19.95" customHeight="1">
      <c r="A322" s="853"/>
      <c r="B322" s="1375"/>
      <c r="C322" s="1375"/>
      <c r="D322" s="1375"/>
      <c r="E322" s="1375"/>
      <c r="F322" s="1375"/>
      <c r="G322" s="1375"/>
      <c r="H322" s="1375"/>
      <c r="I322" s="1375"/>
      <c r="J322" s="1375"/>
      <c r="K322" s="1375"/>
      <c r="L322" s="1375"/>
      <c r="M322" s="1375"/>
      <c r="N322" s="862"/>
      <c r="O322" s="629"/>
      <c r="P322" s="629"/>
      <c r="Q322" s="629"/>
      <c r="R322" s="629"/>
      <c r="S322" s="629"/>
      <c r="T322" s="629"/>
      <c r="U322" s="629"/>
      <c r="V322" s="629"/>
      <c r="W322" s="629"/>
      <c r="X322" s="629"/>
      <c r="Y322" s="629"/>
      <c r="Z322" s="629"/>
      <c r="AA322" s="629"/>
      <c r="AB322" s="630"/>
    </row>
    <row r="323" spans="1:45" ht="19.95" customHeight="1">
      <c r="A323" s="853"/>
      <c r="B323" s="1375"/>
      <c r="C323" s="1375"/>
      <c r="D323" s="1375"/>
      <c r="E323" s="1375"/>
      <c r="F323" s="1375"/>
      <c r="G323" s="1375"/>
      <c r="H323" s="1375"/>
      <c r="I323" s="1375"/>
      <c r="J323" s="1375"/>
      <c r="K323" s="1375"/>
      <c r="L323" s="1375"/>
      <c r="M323" s="1375"/>
      <c r="N323" s="862"/>
      <c r="O323" s="629"/>
      <c r="P323" s="629"/>
      <c r="Q323" s="629"/>
      <c r="R323" s="629"/>
      <c r="S323" s="629"/>
      <c r="T323" s="629"/>
      <c r="U323" s="629"/>
      <c r="V323" s="629"/>
      <c r="W323" s="629"/>
      <c r="X323" s="629"/>
      <c r="Y323" s="629"/>
      <c r="Z323" s="629"/>
      <c r="AA323" s="629"/>
      <c r="AB323" s="630"/>
    </row>
    <row r="324" spans="1:45" ht="4.95" customHeight="1">
      <c r="A324" s="853"/>
      <c r="B324" s="631"/>
      <c r="C324" s="631"/>
      <c r="D324" s="631"/>
      <c r="E324" s="631"/>
      <c r="F324" s="631"/>
      <c r="G324" s="631"/>
      <c r="H324" s="631"/>
      <c r="I324" s="631"/>
      <c r="J324" s="631"/>
      <c r="K324" s="631"/>
      <c r="L324" s="631"/>
      <c r="M324" s="631"/>
      <c r="N324" s="862"/>
      <c r="O324" s="629"/>
      <c r="P324" s="629"/>
      <c r="Q324" s="629"/>
      <c r="R324" s="629"/>
      <c r="S324" s="629"/>
      <c r="T324" s="629"/>
      <c r="U324" s="629"/>
      <c r="V324" s="629"/>
      <c r="W324" s="629"/>
      <c r="X324" s="629"/>
      <c r="Y324" s="629"/>
      <c r="Z324" s="629"/>
      <c r="AA324" s="629"/>
      <c r="AB324" s="630"/>
    </row>
    <row r="325" spans="1:45" ht="21" customHeight="1">
      <c r="A325" s="853"/>
      <c r="B325" s="1426" t="str">
        <f>AI326</f>
        <v>The more I support your needs, the more I trust you to support my needs.</v>
      </c>
      <c r="C325" s="1426"/>
      <c r="D325" s="1426"/>
      <c r="E325" s="1426"/>
      <c r="F325" s="631"/>
      <c r="G325" s="631"/>
      <c r="H325" s="631"/>
      <c r="I325" s="631"/>
      <c r="J325" s="1426" t="str">
        <f>AI328</f>
        <v xml:space="preserve">The more I support your needs, the more I trust you to support my needs. </v>
      </c>
      <c r="K325" s="1426"/>
      <c r="L325" s="1426"/>
      <c r="M325" s="1426"/>
      <c r="N325" s="862"/>
      <c r="O325" s="629"/>
      <c r="P325" s="629"/>
      <c r="Q325" s="629"/>
      <c r="R325" s="629"/>
      <c r="S325" s="629"/>
      <c r="T325" s="629"/>
      <c r="U325" s="629"/>
      <c r="V325" s="629"/>
      <c r="W325" s="629"/>
      <c r="X325" s="629"/>
      <c r="Y325" s="629"/>
      <c r="Z325" s="629"/>
      <c r="AA325" s="629"/>
      <c r="AB325" s="630"/>
      <c r="AI325" s="673" t="s">
        <v>2488</v>
      </c>
    </row>
    <row r="326" spans="1:45" ht="21" customHeight="1">
      <c r="A326" s="853"/>
      <c r="B326" s="1426"/>
      <c r="C326" s="1426"/>
      <c r="D326" s="1426"/>
      <c r="E326" s="1426"/>
      <c r="F326" s="631"/>
      <c r="G326" s="631"/>
      <c r="H326" s="631"/>
      <c r="I326" s="631"/>
      <c r="J326" s="1426"/>
      <c r="K326" s="1426"/>
      <c r="L326" s="1426"/>
      <c r="M326" s="1426"/>
      <c r="N326" s="862"/>
      <c r="O326" s="629"/>
      <c r="P326" s="629"/>
      <c r="Q326" s="629"/>
      <c r="R326" s="629"/>
      <c r="S326" s="629"/>
      <c r="T326" s="629"/>
      <c r="U326" s="629"/>
      <c r="V326" s="629"/>
      <c r="W326" s="629"/>
      <c r="X326" s="629"/>
      <c r="Y326" s="629"/>
      <c r="Z326" s="629"/>
      <c r="AA326" s="629"/>
      <c r="AB326" s="630"/>
      <c r="AI326" s="459" t="str">
        <f>IF(H$115="",AQ326,CONCATENATE(AK326,AL326,AM326,AN326,AO326))</f>
        <v>The more I support your needs, the more I trust you to support my needs.</v>
      </c>
      <c r="AK326" s="465" t="s">
        <v>2495</v>
      </c>
      <c r="AL326" s="2" t="str">
        <f>$Q$1300</f>
        <v/>
      </c>
      <c r="AM326" s="465" t="s">
        <v>2496</v>
      </c>
      <c r="AN326" s="2" t="str">
        <f>$P$1300</f>
        <v/>
      </c>
      <c r="AO326" s="465" t="s">
        <v>706</v>
      </c>
      <c r="AQ326" s="734" t="s">
        <v>3186</v>
      </c>
    </row>
    <row r="327" spans="1:45" ht="21" customHeight="1">
      <c r="A327" s="853"/>
      <c r="B327" s="1426"/>
      <c r="C327" s="1426"/>
      <c r="D327" s="1426"/>
      <c r="E327" s="1426"/>
      <c r="F327" s="631"/>
      <c r="G327" s="631"/>
      <c r="H327" s="631"/>
      <c r="I327" s="631"/>
      <c r="J327" s="1426"/>
      <c r="K327" s="1426"/>
      <c r="L327" s="1426"/>
      <c r="M327" s="1426"/>
      <c r="N327" s="862"/>
      <c r="O327" s="629"/>
      <c r="P327" s="629"/>
      <c r="Q327" s="629"/>
      <c r="R327" s="629"/>
      <c r="S327" s="629"/>
      <c r="T327" s="629"/>
      <c r="U327" s="629"/>
      <c r="V327" s="629"/>
      <c r="W327" s="629"/>
      <c r="X327" s="629"/>
      <c r="Y327" s="629"/>
      <c r="Z327" s="629"/>
      <c r="AA327" s="629"/>
      <c r="AB327" s="630"/>
      <c r="AI327" s="674" t="s">
        <v>2489</v>
      </c>
    </row>
    <row r="328" spans="1:45" ht="21" customHeight="1">
      <c r="A328" s="853"/>
      <c r="B328" s="1426"/>
      <c r="C328" s="1426"/>
      <c r="D328" s="1426"/>
      <c r="E328" s="1426"/>
      <c r="F328" s="631"/>
      <c r="G328" s="631"/>
      <c r="H328" s="631"/>
      <c r="I328" s="631"/>
      <c r="J328" s="1426"/>
      <c r="K328" s="1426"/>
      <c r="L328" s="1426"/>
      <c r="M328" s="1426"/>
      <c r="N328" s="862"/>
      <c r="O328" s="629"/>
      <c r="P328" s="629"/>
      <c r="Q328" s="629"/>
      <c r="R328" s="629"/>
      <c r="S328" s="629"/>
      <c r="T328" s="629"/>
      <c r="U328" s="629"/>
      <c r="V328" s="629"/>
      <c r="W328" s="629"/>
      <c r="X328" s="629"/>
      <c r="Y328" s="629"/>
      <c r="Z328" s="629"/>
      <c r="AA328" s="629"/>
      <c r="AB328" s="630"/>
      <c r="AI328" s="459" t="str">
        <f>IF(H$115="",AQ328,CONCATENATE(AK328,AL328,AM328,AN328,AO328))</f>
        <v xml:space="preserve">The more I support your needs, the more I trust you to support my needs. </v>
      </c>
      <c r="AK328" s="465" t="s">
        <v>2495</v>
      </c>
      <c r="AL328" s="2" t="str">
        <f>$P$1300</f>
        <v/>
      </c>
      <c r="AM328" s="465" t="s">
        <v>2496</v>
      </c>
      <c r="AN328" s="2" t="str">
        <f>$Q$1300</f>
        <v/>
      </c>
      <c r="AO328" s="465" t="s">
        <v>706</v>
      </c>
      <c r="AQ328" s="734" t="s">
        <v>3187</v>
      </c>
    </row>
    <row r="329" spans="1:45" ht="21" customHeight="1">
      <c r="A329" s="853"/>
      <c r="B329" s="631"/>
      <c r="C329" s="631"/>
      <c r="D329" s="631"/>
      <c r="E329" s="631"/>
      <c r="F329" s="631"/>
      <c r="G329" s="631"/>
      <c r="H329" s="631"/>
      <c r="I329" s="631"/>
      <c r="J329" s="631"/>
      <c r="K329" s="631"/>
      <c r="L329" s="631"/>
      <c r="M329" s="631"/>
      <c r="N329" s="862"/>
      <c r="O329" s="629"/>
      <c r="P329" s="629"/>
      <c r="Q329" s="629"/>
      <c r="R329" s="629"/>
      <c r="S329" s="629"/>
      <c r="T329" s="629"/>
      <c r="U329" s="629"/>
      <c r="V329" s="629"/>
      <c r="W329" s="629"/>
      <c r="X329" s="629"/>
      <c r="Y329" s="629"/>
      <c r="Z329" s="629"/>
      <c r="AA329" s="629"/>
      <c r="AB329" s="630"/>
    </row>
    <row r="330" spans="1:45" ht="4.95" customHeight="1">
      <c r="A330" s="853"/>
      <c r="B330" s="631"/>
      <c r="C330" s="631"/>
      <c r="D330" s="631"/>
      <c r="E330" s="631"/>
      <c r="F330" s="631"/>
      <c r="G330" s="631"/>
      <c r="H330" s="631"/>
      <c r="I330" s="631"/>
      <c r="J330" s="631"/>
      <c r="K330" s="631"/>
      <c r="L330" s="631"/>
      <c r="M330" s="631"/>
      <c r="N330" s="862"/>
      <c r="O330" s="629"/>
      <c r="P330" s="629"/>
      <c r="Q330" s="629"/>
      <c r="R330" s="629"/>
      <c r="S330" s="629"/>
      <c r="T330" s="629"/>
      <c r="U330" s="629"/>
      <c r="V330" s="629"/>
      <c r="W330" s="629"/>
      <c r="X330" s="629"/>
      <c r="Y330" s="629"/>
      <c r="Z330" s="629"/>
      <c r="AA330" s="629"/>
      <c r="AB330" s="630"/>
    </row>
    <row r="331" spans="1:45" ht="25.05" customHeight="1">
      <c r="A331" s="858" t="s">
        <v>2484</v>
      </c>
      <c r="B331" s="631"/>
      <c r="C331" s="631"/>
      <c r="D331" s="631"/>
      <c r="E331" s="631"/>
      <c r="F331" s="631"/>
      <c r="G331" s="631"/>
      <c r="H331" s="631"/>
      <c r="I331" s="631"/>
      <c r="J331" s="631"/>
      <c r="K331" s="631"/>
      <c r="L331" s="631"/>
      <c r="M331" s="631"/>
      <c r="N331" s="862"/>
      <c r="O331" s="629"/>
      <c r="P331" s="629"/>
      <c r="Q331" s="629"/>
      <c r="R331" s="629"/>
      <c r="S331" s="629"/>
      <c r="T331" s="629"/>
      <c r="U331" s="629"/>
      <c r="V331" s="629"/>
      <c r="W331" s="629"/>
      <c r="X331" s="629"/>
      <c r="Y331" s="629"/>
      <c r="Z331" s="629"/>
      <c r="AA331" s="629"/>
      <c r="AB331" s="630"/>
    </row>
    <row r="332" spans="1:45" ht="19.05" customHeight="1">
      <c r="A332" s="853"/>
      <c r="B332" s="1375" t="str">
        <f>AI332</f>
        <v>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v>
      </c>
      <c r="C332" s="1375"/>
      <c r="D332" s="1375"/>
      <c r="E332" s="1375"/>
      <c r="F332" s="1375"/>
      <c r="G332" s="1375"/>
      <c r="H332" s="1375"/>
      <c r="I332" s="1375"/>
      <c r="J332" s="1375"/>
      <c r="K332" s="1375"/>
      <c r="L332" s="1375"/>
      <c r="M332" s="1375"/>
      <c r="N332" s="862"/>
      <c r="O332" s="629"/>
      <c r="P332" s="629"/>
      <c r="Q332" s="629"/>
      <c r="R332" s="629"/>
      <c r="S332" s="629"/>
      <c r="T332" s="629"/>
      <c r="U332" s="629"/>
      <c r="V332" s="629"/>
      <c r="W332" s="629"/>
      <c r="X332" s="629"/>
      <c r="Y332" s="629"/>
      <c r="Z332" s="629"/>
      <c r="AA332" s="629"/>
      <c r="AB332" s="630"/>
      <c r="AI332" s="459" t="str">
        <f>IF(H$115="",AK333,CONCATENATE(AK332,AL332,AM332,AN332,AO332,AP332,AQ332,AR332,AS332,AT332,AU332,AV332,AW332,AX332))</f>
        <v>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v>
      </c>
      <c r="AK332" s="465" t="s">
        <v>2475</v>
      </c>
      <c r="AL332" s="2" t="str">
        <f>$D$1300</f>
        <v/>
      </c>
      <c r="AM332" s="465" t="s">
        <v>2476</v>
      </c>
      <c r="AN332" s="2" t="str">
        <f>$D$1300</f>
        <v/>
      </c>
      <c r="AO332" s="465" t="s">
        <v>2477</v>
      </c>
      <c r="AQ332" s="465"/>
      <c r="AS332" s="465"/>
    </row>
    <row r="333" spans="1:45" ht="19.05" customHeight="1">
      <c r="A333" s="853"/>
      <c r="B333" s="1375"/>
      <c r="C333" s="1375"/>
      <c r="D333" s="1375"/>
      <c r="E333" s="1375"/>
      <c r="F333" s="1375"/>
      <c r="G333" s="1375"/>
      <c r="H333" s="1375"/>
      <c r="I333" s="1375"/>
      <c r="J333" s="1375"/>
      <c r="K333" s="1375"/>
      <c r="L333" s="1375"/>
      <c r="M333" s="1375"/>
      <c r="N333" s="862"/>
      <c r="O333" s="629"/>
      <c r="P333" s="629"/>
      <c r="Q333" s="629"/>
      <c r="R333" s="629"/>
      <c r="S333" s="629"/>
      <c r="T333" s="629"/>
      <c r="U333" s="629"/>
      <c r="V333" s="629"/>
      <c r="W333" s="629"/>
      <c r="X333" s="629"/>
      <c r="Y333" s="629"/>
      <c r="Z333" s="629"/>
      <c r="AA333" s="629"/>
      <c r="AB333" s="630"/>
      <c r="AK333" s="734" t="s">
        <v>3188</v>
      </c>
    </row>
    <row r="334" spans="1:45" ht="19.05" customHeight="1">
      <c r="A334" s="853"/>
      <c r="B334" s="1375"/>
      <c r="C334" s="1375"/>
      <c r="D334" s="1375"/>
      <c r="E334" s="1375"/>
      <c r="F334" s="1375"/>
      <c r="G334" s="1375"/>
      <c r="H334" s="1375"/>
      <c r="I334" s="1375"/>
      <c r="J334" s="1375"/>
      <c r="K334" s="1375"/>
      <c r="L334" s="1375"/>
      <c r="M334" s="1375"/>
      <c r="N334" s="862"/>
      <c r="O334" s="629"/>
      <c r="P334" s="629"/>
      <c r="Q334" s="629"/>
      <c r="R334" s="629"/>
      <c r="S334" s="629"/>
      <c r="T334" s="629"/>
      <c r="U334" s="629"/>
      <c r="V334" s="629"/>
      <c r="W334" s="629"/>
      <c r="X334" s="629"/>
      <c r="Y334" s="629"/>
      <c r="Z334" s="629"/>
      <c r="AA334" s="629"/>
      <c r="AB334" s="630"/>
    </row>
    <row r="335" spans="1:45" ht="19.05" customHeight="1">
      <c r="A335" s="853"/>
      <c r="B335" s="1375"/>
      <c r="C335" s="1375"/>
      <c r="D335" s="1375"/>
      <c r="E335" s="1375"/>
      <c r="F335" s="1375"/>
      <c r="G335" s="1375"/>
      <c r="H335" s="1375"/>
      <c r="I335" s="1375"/>
      <c r="J335" s="1375"/>
      <c r="K335" s="1375"/>
      <c r="L335" s="1375"/>
      <c r="M335" s="1375"/>
      <c r="N335" s="862"/>
      <c r="O335" s="629"/>
      <c r="P335" s="629"/>
      <c r="Q335" s="629"/>
      <c r="R335" s="629"/>
      <c r="S335" s="629"/>
      <c r="T335" s="629"/>
      <c r="U335" s="629"/>
      <c r="V335" s="629"/>
      <c r="W335" s="629"/>
      <c r="X335" s="629"/>
      <c r="Y335" s="629"/>
      <c r="Z335" s="629"/>
      <c r="AA335" s="629"/>
      <c r="AB335" s="630"/>
    </row>
    <row r="336" spans="1:45" ht="19.05" customHeight="1">
      <c r="A336" s="853"/>
      <c r="B336" s="1375"/>
      <c r="C336" s="1375"/>
      <c r="D336" s="1375"/>
      <c r="E336" s="1375"/>
      <c r="F336" s="1375"/>
      <c r="G336" s="1375"/>
      <c r="H336" s="1375"/>
      <c r="I336" s="1375"/>
      <c r="J336" s="1375"/>
      <c r="K336" s="1375"/>
      <c r="L336" s="1375"/>
      <c r="M336" s="1375"/>
      <c r="N336" s="862"/>
      <c r="O336" s="629"/>
      <c r="P336" s="629"/>
      <c r="Q336" s="629"/>
      <c r="R336" s="629"/>
      <c r="S336" s="629"/>
      <c r="T336" s="629"/>
      <c r="U336" s="629"/>
      <c r="V336" s="629"/>
      <c r="W336" s="629"/>
      <c r="X336" s="629"/>
      <c r="Y336" s="629"/>
      <c r="Z336" s="629"/>
      <c r="AA336" s="629"/>
      <c r="AB336" s="630"/>
    </row>
    <row r="337" spans="1:82" ht="19.05" customHeight="1">
      <c r="A337" s="853"/>
      <c r="B337" s="1375"/>
      <c r="C337" s="1375"/>
      <c r="D337" s="1375"/>
      <c r="E337" s="1375"/>
      <c r="F337" s="1375"/>
      <c r="G337" s="1375"/>
      <c r="H337" s="1375"/>
      <c r="I337" s="1375"/>
      <c r="J337" s="1375"/>
      <c r="K337" s="1375"/>
      <c r="L337" s="1375"/>
      <c r="M337" s="1375"/>
      <c r="N337" s="862"/>
      <c r="O337" s="629"/>
      <c r="P337" s="629"/>
      <c r="Q337" s="629"/>
      <c r="R337" s="629"/>
      <c r="S337" s="629"/>
      <c r="T337" s="629"/>
      <c r="U337" s="629"/>
      <c r="V337" s="629"/>
      <c r="W337" s="629"/>
      <c r="X337" s="629"/>
      <c r="Y337" s="629"/>
      <c r="Z337" s="629"/>
      <c r="AA337" s="629"/>
      <c r="AB337" s="630"/>
    </row>
    <row r="338" spans="1:82" ht="4.95" customHeight="1">
      <c r="A338" s="853"/>
      <c r="B338" s="631"/>
      <c r="C338" s="631"/>
      <c r="D338" s="631"/>
      <c r="E338" s="631"/>
      <c r="F338" s="631"/>
      <c r="G338" s="631"/>
      <c r="H338" s="631"/>
      <c r="I338" s="631"/>
      <c r="J338" s="631"/>
      <c r="K338" s="631"/>
      <c r="L338" s="631"/>
      <c r="M338" s="631"/>
      <c r="N338" s="862"/>
      <c r="O338" s="629"/>
      <c r="P338" s="629"/>
      <c r="Q338" s="629"/>
      <c r="R338" s="629"/>
      <c r="S338" s="629"/>
      <c r="T338" s="629"/>
      <c r="U338" s="629"/>
      <c r="V338" s="629"/>
      <c r="W338" s="629"/>
      <c r="X338" s="629"/>
      <c r="Y338" s="629"/>
      <c r="Z338" s="629"/>
      <c r="AA338" s="629"/>
      <c r="AB338" s="630"/>
      <c r="CD338" s="37"/>
    </row>
    <row r="339" spans="1:82" ht="25.05" customHeight="1">
      <c r="A339" s="858" t="s">
        <v>2478</v>
      </c>
      <c r="B339" s="631"/>
      <c r="C339" s="631"/>
      <c r="D339" s="631"/>
      <c r="E339" s="631"/>
      <c r="F339" s="631"/>
      <c r="G339" s="631"/>
      <c r="H339" s="631"/>
      <c r="I339" s="631"/>
      <c r="J339" s="631"/>
      <c r="K339" s="631"/>
      <c r="L339" s="631"/>
      <c r="M339" s="631"/>
      <c r="N339" s="862"/>
      <c r="O339" s="629"/>
      <c r="P339" s="629"/>
      <c r="Q339" s="629"/>
      <c r="R339" s="629"/>
      <c r="S339" s="629"/>
      <c r="T339" s="629"/>
      <c r="U339" s="629"/>
      <c r="V339" s="629"/>
      <c r="W339" s="629"/>
      <c r="X339" s="629"/>
      <c r="Y339" s="629"/>
      <c r="Z339" s="629"/>
      <c r="AA339" s="629"/>
      <c r="AB339" s="630"/>
      <c r="AK339" s="139">
        <v>1</v>
      </c>
      <c r="AL339" s="139">
        <v>2</v>
      </c>
      <c r="AM339" s="139">
        <v>3</v>
      </c>
      <c r="AN339" s="139">
        <v>4</v>
      </c>
      <c r="AO339" s="139">
        <v>5</v>
      </c>
      <c r="AP339" s="139">
        <v>6</v>
      </c>
      <c r="AQ339" s="139">
        <v>7</v>
      </c>
      <c r="AR339" s="139">
        <v>8</v>
      </c>
      <c r="AS339" s="139">
        <v>9</v>
      </c>
      <c r="AT339" s="139">
        <v>10</v>
      </c>
      <c r="AU339" s="139">
        <v>11</v>
      </c>
      <c r="AV339" s="139">
        <v>12</v>
      </c>
      <c r="AW339" s="139">
        <v>13</v>
      </c>
      <c r="AX339" s="139">
        <v>14</v>
      </c>
      <c r="AY339" s="139">
        <v>15</v>
      </c>
    </row>
    <row r="340" spans="1:82" ht="19.95" customHeight="1">
      <c r="A340" s="853"/>
      <c r="B340" s="1375" t="str">
        <f>AI340</f>
        <v>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v>
      </c>
      <c r="C340" s="1375"/>
      <c r="D340" s="1375"/>
      <c r="E340" s="1375"/>
      <c r="F340" s="1375"/>
      <c r="G340" s="1375"/>
      <c r="H340" s="1375"/>
      <c r="I340" s="1375"/>
      <c r="J340" s="1375"/>
      <c r="K340" s="1375"/>
      <c r="L340" s="1375"/>
      <c r="M340" s="1375"/>
      <c r="N340" s="862"/>
      <c r="O340" s="629"/>
      <c r="P340" s="629"/>
      <c r="Q340" s="629"/>
      <c r="R340" s="629"/>
      <c r="S340" s="629"/>
      <c r="T340" s="629"/>
      <c r="U340" s="629"/>
      <c r="V340" s="629"/>
      <c r="W340" s="629"/>
      <c r="X340" s="629"/>
      <c r="Y340" s="629"/>
      <c r="Z340" s="629"/>
      <c r="AA340" s="629"/>
      <c r="AB340" s="630"/>
      <c r="AI340" s="459" t="str">
        <f>IF(OR(H$113="",H$115=""),AK341,CONCATENATE(AK340,AL340,AM340,AN340,AO340,AP340,AQ340,AR340,AS340,AT340,AU340,AV340,AW340,AX340))</f>
        <v>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v>
      </c>
      <c r="AK340" s="465" t="s">
        <v>2610</v>
      </c>
      <c r="AL340" s="2" t="str">
        <f>$S$1299</f>
        <v/>
      </c>
      <c r="AM340" s="465" t="s">
        <v>2483</v>
      </c>
      <c r="AN340" s="2" t="str">
        <f>$D$1300</f>
        <v/>
      </c>
      <c r="AO340" s="465" t="s">
        <v>2611</v>
      </c>
      <c r="AP340" s="2" t="str">
        <f>$R$1299</f>
        <v/>
      </c>
      <c r="AQ340" s="465" t="s">
        <v>2485</v>
      </c>
      <c r="AR340" s="2" t="str">
        <f>$D$1300</f>
        <v/>
      </c>
      <c r="AS340" s="465" t="s">
        <v>2479</v>
      </c>
      <c r="AT340" s="2" t="str">
        <f>$L$1299</f>
        <v/>
      </c>
      <c r="AU340" s="465" t="s">
        <v>2480</v>
      </c>
      <c r="AV340" s="2" t="str">
        <f>$M$1299</f>
        <v/>
      </c>
      <c r="AW340" s="465" t="s">
        <v>2481</v>
      </c>
      <c r="AX340" s="2" t="str">
        <f>$D$1300</f>
        <v/>
      </c>
      <c r="AY340" s="465" t="s">
        <v>2482</v>
      </c>
    </row>
    <row r="341" spans="1:82" ht="19.95" customHeight="1">
      <c r="A341" s="853"/>
      <c r="B341" s="1375"/>
      <c r="C341" s="1375"/>
      <c r="D341" s="1375"/>
      <c r="E341" s="1375"/>
      <c r="F341" s="1375"/>
      <c r="G341" s="1375"/>
      <c r="H341" s="1375"/>
      <c r="I341" s="1375"/>
      <c r="J341" s="1375"/>
      <c r="K341" s="1375"/>
      <c r="L341" s="1375"/>
      <c r="M341" s="1375"/>
      <c r="N341" s="862"/>
      <c r="O341" s="629"/>
      <c r="P341" s="629"/>
      <c r="Q341" s="629"/>
      <c r="R341" s="629"/>
      <c r="S341" s="629"/>
      <c r="T341" s="629"/>
      <c r="U341" s="629"/>
      <c r="V341" s="629"/>
      <c r="W341" s="629"/>
      <c r="X341" s="629"/>
      <c r="Y341" s="629"/>
      <c r="Z341" s="629"/>
      <c r="AA341" s="629"/>
      <c r="AB341" s="630"/>
      <c r="AK341" s="734" t="s">
        <v>3189</v>
      </c>
    </row>
    <row r="342" spans="1:82" ht="19.95" customHeight="1">
      <c r="A342" s="853"/>
      <c r="B342" s="1375"/>
      <c r="C342" s="1375"/>
      <c r="D342" s="1375"/>
      <c r="E342" s="1375"/>
      <c r="F342" s="1375"/>
      <c r="G342" s="1375"/>
      <c r="H342" s="1375"/>
      <c r="I342" s="1375"/>
      <c r="J342" s="1375"/>
      <c r="K342" s="1375"/>
      <c r="L342" s="1375"/>
      <c r="M342" s="1375"/>
      <c r="N342" s="862"/>
      <c r="O342" s="629"/>
      <c r="P342" s="629"/>
      <c r="Q342" s="629"/>
      <c r="R342" s="629"/>
      <c r="S342" s="629"/>
      <c r="T342" s="629"/>
      <c r="U342" s="629"/>
      <c r="V342" s="629"/>
      <c r="W342" s="629"/>
      <c r="X342" s="629"/>
      <c r="Y342" s="629"/>
      <c r="Z342" s="629"/>
      <c r="AA342" s="629"/>
      <c r="AB342" s="630"/>
    </row>
    <row r="343" spans="1:82" ht="19.95" customHeight="1">
      <c r="A343" s="853"/>
      <c r="B343" s="1375"/>
      <c r="C343" s="1375"/>
      <c r="D343" s="1375"/>
      <c r="E343" s="1375"/>
      <c r="F343" s="1375"/>
      <c r="G343" s="1375"/>
      <c r="H343" s="1375"/>
      <c r="I343" s="1375"/>
      <c r="J343" s="1375"/>
      <c r="K343" s="1375"/>
      <c r="L343" s="1375"/>
      <c r="M343" s="1375"/>
      <c r="N343" s="862"/>
      <c r="O343" s="629"/>
      <c r="P343" s="629"/>
      <c r="Q343" s="629"/>
      <c r="R343" s="629"/>
      <c r="S343" s="629"/>
      <c r="T343" s="629"/>
      <c r="U343" s="629"/>
      <c r="V343" s="629"/>
      <c r="W343" s="629"/>
      <c r="X343" s="629"/>
      <c r="Y343" s="629"/>
      <c r="Z343" s="629"/>
      <c r="AA343" s="629"/>
      <c r="AB343" s="630"/>
    </row>
    <row r="344" spans="1:82" ht="19.95" customHeight="1">
      <c r="A344" s="853"/>
      <c r="B344" s="1375"/>
      <c r="C344" s="1375"/>
      <c r="D344" s="1375"/>
      <c r="E344" s="1375"/>
      <c r="F344" s="1375"/>
      <c r="G344" s="1375"/>
      <c r="H344" s="1375"/>
      <c r="I344" s="1375"/>
      <c r="J344" s="1375"/>
      <c r="K344" s="1375"/>
      <c r="L344" s="1375"/>
      <c r="M344" s="1375"/>
      <c r="N344" s="862"/>
      <c r="O344" s="629"/>
      <c r="P344" s="629"/>
      <c r="Q344" s="629"/>
      <c r="R344" s="629"/>
      <c r="S344" s="629"/>
      <c r="T344" s="629"/>
      <c r="U344" s="629"/>
      <c r="V344" s="629"/>
      <c r="W344" s="629"/>
      <c r="X344" s="629"/>
      <c r="Y344" s="629"/>
      <c r="Z344" s="629"/>
      <c r="AA344" s="629"/>
      <c r="AB344" s="630"/>
    </row>
    <row r="345" spans="1:82" ht="19.95" customHeight="1">
      <c r="A345" s="853"/>
      <c r="B345" s="1375"/>
      <c r="C345" s="1375"/>
      <c r="D345" s="1375"/>
      <c r="E345" s="1375"/>
      <c r="F345" s="1375"/>
      <c r="G345" s="1375"/>
      <c r="H345" s="1375"/>
      <c r="I345" s="1375"/>
      <c r="J345" s="1375"/>
      <c r="K345" s="1375"/>
      <c r="L345" s="1375"/>
      <c r="M345" s="1375"/>
      <c r="N345" s="862"/>
      <c r="O345" s="629"/>
      <c r="P345" s="629"/>
      <c r="Q345" s="629"/>
      <c r="R345" s="629"/>
      <c r="S345" s="629"/>
      <c r="T345" s="629"/>
      <c r="U345" s="629"/>
      <c r="V345" s="629"/>
      <c r="W345" s="629"/>
      <c r="X345" s="629"/>
      <c r="Y345" s="629"/>
      <c r="Z345" s="629"/>
      <c r="AA345" s="629"/>
      <c r="AB345" s="630"/>
    </row>
    <row r="346" spans="1:82" ht="19.95" customHeight="1">
      <c r="A346" s="853"/>
      <c r="B346" s="1375"/>
      <c r="C346" s="1375"/>
      <c r="D346" s="1375"/>
      <c r="E346" s="1375"/>
      <c r="F346" s="1375"/>
      <c r="G346" s="1375"/>
      <c r="H346" s="1375"/>
      <c r="I346" s="1375"/>
      <c r="J346" s="1375"/>
      <c r="K346" s="1375"/>
      <c r="L346" s="1375"/>
      <c r="M346" s="1375"/>
      <c r="N346" s="862"/>
      <c r="O346" s="629"/>
      <c r="P346" s="629"/>
      <c r="Q346" s="629"/>
      <c r="R346" s="629"/>
      <c r="S346" s="629"/>
      <c r="T346" s="629"/>
      <c r="U346" s="629"/>
      <c r="V346" s="629"/>
      <c r="W346" s="629"/>
      <c r="X346" s="629"/>
      <c r="Y346" s="629"/>
      <c r="Z346" s="629"/>
      <c r="AA346" s="629"/>
      <c r="AB346" s="630"/>
    </row>
    <row r="347" spans="1:82" ht="25.05" customHeight="1">
      <c r="A347" s="853"/>
      <c r="B347" s="1375"/>
      <c r="C347" s="1375"/>
      <c r="D347" s="1375"/>
      <c r="E347" s="1375"/>
      <c r="F347" s="1375"/>
      <c r="G347" s="1375"/>
      <c r="H347" s="1375"/>
      <c r="I347" s="1375"/>
      <c r="J347" s="1375"/>
      <c r="K347" s="1375"/>
      <c r="L347" s="1375"/>
      <c r="M347" s="1375"/>
      <c r="N347" s="862"/>
      <c r="O347" s="629"/>
      <c r="P347" s="629"/>
      <c r="Q347" s="629"/>
      <c r="R347" s="629"/>
      <c r="S347" s="629"/>
      <c r="T347" s="629"/>
      <c r="U347" s="629"/>
      <c r="V347" s="629"/>
      <c r="W347" s="629"/>
      <c r="X347" s="629"/>
      <c r="Y347" s="629"/>
      <c r="Z347" s="629"/>
      <c r="AA347" s="629"/>
      <c r="AB347" s="630"/>
    </row>
    <row r="348" spans="1:82" ht="4.95" customHeight="1">
      <c r="A348" s="857"/>
      <c r="B348" s="635"/>
      <c r="C348" s="635"/>
      <c r="D348" s="635"/>
      <c r="E348" s="635"/>
      <c r="F348" s="635"/>
      <c r="G348" s="635"/>
      <c r="H348" s="635"/>
      <c r="I348" s="635"/>
      <c r="J348" s="635"/>
      <c r="K348" s="635"/>
      <c r="L348" s="635"/>
      <c r="M348" s="635"/>
      <c r="N348" s="862"/>
      <c r="O348" s="629"/>
      <c r="P348" s="635"/>
      <c r="Q348" s="635"/>
      <c r="R348" s="635"/>
      <c r="S348" s="635"/>
      <c r="T348" s="635"/>
      <c r="U348" s="635"/>
      <c r="V348" s="635"/>
      <c r="W348" s="635"/>
      <c r="X348" s="635"/>
      <c r="Y348" s="635"/>
      <c r="Z348" s="635"/>
      <c r="AA348" s="635"/>
      <c r="AB348" s="636"/>
      <c r="AC348" s="651"/>
    </row>
    <row r="349" spans="1:82" ht="30" customHeight="1">
      <c r="A349" s="854" t="s">
        <v>1148</v>
      </c>
      <c r="B349" s="884" t="str">
        <f>AI349</f>
        <v>Our responsive politics</v>
      </c>
      <c r="C349" s="884"/>
      <c r="D349" s="884"/>
      <c r="E349" s="884"/>
      <c r="F349" s="884"/>
      <c r="G349" s="884"/>
      <c r="H349" s="884"/>
      <c r="I349" s="884"/>
      <c r="J349" s="884"/>
      <c r="K349" s="884"/>
      <c r="L349" s="884"/>
      <c r="M349" s="884"/>
      <c r="N349" s="865" t="s">
        <v>1149</v>
      </c>
      <c r="O349" s="860"/>
      <c r="P349" s="647"/>
      <c r="Q349" s="647"/>
      <c r="R349" s="647"/>
      <c r="S349" s="647"/>
      <c r="T349" s="647"/>
      <c r="U349" s="647"/>
      <c r="V349" s="647"/>
      <c r="W349" s="647"/>
      <c r="X349" s="647"/>
      <c r="Y349" s="647"/>
      <c r="Z349" s="647"/>
      <c r="AA349" s="647"/>
      <c r="AB349" s="650" t="s">
        <v>1149</v>
      </c>
      <c r="AC349" s="651"/>
      <c r="AI349" s="37" t="str">
        <f>CONCATENATE(AK349,AL349,AM349)</f>
        <v>Our responsive politics</v>
      </c>
      <c r="AK349" s="465" t="s">
        <v>2125</v>
      </c>
      <c r="AL349" s="2" t="str">
        <f>IF(H$115="","",CONCATENATE(D1300," "))</f>
        <v/>
      </c>
      <c r="AM349" s="465" t="s">
        <v>2076</v>
      </c>
    </row>
    <row r="350" spans="1:82" ht="10.050000000000001" customHeight="1">
      <c r="A350" s="853"/>
      <c r="B350" s="629"/>
      <c r="C350" s="629"/>
      <c r="D350" s="629"/>
      <c r="E350" s="629"/>
      <c r="F350" s="629"/>
      <c r="G350" s="629"/>
      <c r="H350" s="629"/>
      <c r="I350" s="629"/>
      <c r="J350" s="629"/>
      <c r="K350" s="629"/>
      <c r="L350" s="629"/>
      <c r="M350" s="629"/>
      <c r="N350" s="862"/>
      <c r="O350" s="629"/>
      <c r="P350" s="629"/>
      <c r="Q350" s="629"/>
      <c r="R350" s="629"/>
      <c r="S350" s="629"/>
      <c r="T350" s="629"/>
      <c r="U350" s="629"/>
      <c r="V350" s="629"/>
      <c r="W350" s="629"/>
      <c r="X350" s="629"/>
      <c r="Y350" s="629"/>
      <c r="Z350" s="629"/>
      <c r="AA350" s="629"/>
      <c r="AB350" s="630"/>
      <c r="AC350" s="651"/>
    </row>
    <row r="351" spans="1:82" ht="19.95" customHeight="1">
      <c r="A351" s="855" t="s">
        <v>2073</v>
      </c>
      <c r="B351" s="632"/>
      <c r="C351" s="631"/>
      <c r="D351" s="631"/>
      <c r="E351" s="631"/>
      <c r="F351" s="631"/>
      <c r="G351" s="631"/>
      <c r="H351" s="631"/>
      <c r="I351" s="631"/>
      <c r="J351" s="631"/>
      <c r="K351" s="631"/>
      <c r="L351" s="631"/>
      <c r="M351" s="631"/>
      <c r="N351" s="862"/>
      <c r="O351" s="629"/>
      <c r="P351" s="629"/>
      <c r="Q351" s="629"/>
      <c r="R351" s="629"/>
      <c r="S351" s="629"/>
      <c r="T351" s="629"/>
      <c r="U351" s="629"/>
      <c r="V351" s="629"/>
      <c r="W351" s="629"/>
      <c r="X351" s="629"/>
      <c r="Y351" s="629"/>
      <c r="Z351" s="629"/>
      <c r="AA351" s="629"/>
      <c r="AB351" s="630"/>
      <c r="AC351" s="651"/>
    </row>
    <row r="352" spans="1:82" ht="4.95" customHeight="1">
      <c r="A352" s="853"/>
      <c r="B352" s="631"/>
      <c r="C352" s="631"/>
      <c r="D352" s="631"/>
      <c r="E352" s="631"/>
      <c r="F352" s="631"/>
      <c r="G352" s="631"/>
      <c r="H352" s="631"/>
      <c r="I352" s="631"/>
      <c r="J352" s="631"/>
      <c r="K352" s="631"/>
      <c r="L352" s="631"/>
      <c r="M352" s="631"/>
      <c r="N352" s="862"/>
      <c r="O352" s="629"/>
      <c r="P352" s="629"/>
      <c r="Q352" s="629"/>
      <c r="R352" s="629"/>
      <c r="S352" s="629"/>
      <c r="T352" s="629"/>
      <c r="U352" s="629"/>
      <c r="V352" s="629"/>
      <c r="W352" s="629"/>
      <c r="X352" s="629"/>
      <c r="Y352" s="629"/>
      <c r="Z352" s="629"/>
      <c r="AA352" s="629"/>
      <c r="AB352" s="630"/>
      <c r="AC352" s="651"/>
    </row>
    <row r="353" spans="1:39" ht="19.95" customHeight="1">
      <c r="A353" s="855"/>
      <c r="B353" s="1412" t="s">
        <v>2500</v>
      </c>
      <c r="C353" s="1412"/>
      <c r="D353" s="1412"/>
      <c r="E353" s="1412"/>
      <c r="F353" s="1412"/>
      <c r="G353" s="1412"/>
      <c r="H353" s="1412"/>
      <c r="I353" s="1412"/>
      <c r="J353" s="1412"/>
      <c r="K353" s="1412"/>
      <c r="L353" s="1412"/>
      <c r="M353" s="1412"/>
      <c r="N353" s="862"/>
      <c r="O353" s="629"/>
      <c r="P353" s="629"/>
      <c r="Q353" s="629"/>
      <c r="R353" s="629"/>
      <c r="S353" s="629"/>
      <c r="T353" s="629"/>
      <c r="U353" s="629"/>
      <c r="V353" s="629"/>
      <c r="W353" s="629"/>
      <c r="X353" s="629"/>
      <c r="Y353" s="629"/>
      <c r="Z353" s="629"/>
      <c r="AA353" s="629"/>
      <c r="AB353" s="630"/>
    </row>
    <row r="354" spans="1:39" ht="19.95" customHeight="1">
      <c r="A354" s="853"/>
      <c r="B354" s="1412"/>
      <c r="C354" s="1412"/>
      <c r="D354" s="1412"/>
      <c r="E354" s="1412"/>
      <c r="F354" s="1412"/>
      <c r="G354" s="1412"/>
      <c r="H354" s="1412"/>
      <c r="I354" s="1412"/>
      <c r="J354" s="1412"/>
      <c r="K354" s="1412"/>
      <c r="L354" s="1412"/>
      <c r="M354" s="1412"/>
      <c r="N354" s="862"/>
      <c r="O354" s="629"/>
      <c r="P354" s="629"/>
      <c r="Q354" s="629"/>
      <c r="R354" s="629"/>
      <c r="S354" s="629"/>
      <c r="T354" s="629"/>
      <c r="U354" s="629"/>
      <c r="V354" s="629"/>
      <c r="W354" s="629"/>
      <c r="X354" s="629"/>
      <c r="Y354" s="629"/>
      <c r="Z354" s="629"/>
      <c r="AA354" s="629"/>
      <c r="AB354" s="630"/>
    </row>
    <row r="355" spans="1:39" ht="19.95" customHeight="1">
      <c r="A355" s="853"/>
      <c r="B355" s="1412"/>
      <c r="C355" s="1412"/>
      <c r="D355" s="1412"/>
      <c r="E355" s="1412"/>
      <c r="F355" s="1412"/>
      <c r="G355" s="1412"/>
      <c r="H355" s="1412"/>
      <c r="I355" s="1412"/>
      <c r="J355" s="1412"/>
      <c r="K355" s="1412"/>
      <c r="L355" s="1412"/>
      <c r="M355" s="1412"/>
      <c r="N355" s="862"/>
      <c r="O355" s="629"/>
      <c r="P355" s="629"/>
      <c r="Q355" s="629"/>
      <c r="R355" s="629"/>
      <c r="S355" s="629"/>
      <c r="T355" s="629"/>
      <c r="U355" s="629"/>
      <c r="V355" s="629"/>
      <c r="W355" s="629"/>
      <c r="X355" s="629"/>
      <c r="Y355" s="629"/>
      <c r="Z355" s="629"/>
      <c r="AA355" s="629"/>
      <c r="AB355" s="630"/>
    </row>
    <row r="356" spans="1:39" ht="4.95" customHeight="1">
      <c r="A356" s="853"/>
      <c r="B356" s="637"/>
      <c r="C356" s="637"/>
      <c r="D356" s="637"/>
      <c r="E356" s="637"/>
      <c r="F356" s="637"/>
      <c r="G356" s="637"/>
      <c r="H356" s="638"/>
      <c r="I356" s="638"/>
      <c r="J356" s="638"/>
      <c r="K356" s="638"/>
      <c r="L356" s="638"/>
      <c r="M356" s="638"/>
      <c r="N356" s="862"/>
      <c r="O356" s="629"/>
      <c r="P356" s="629"/>
      <c r="Q356" s="629"/>
      <c r="R356" s="629"/>
      <c r="S356" s="629"/>
      <c r="T356" s="629"/>
      <c r="U356" s="629"/>
      <c r="V356" s="629"/>
      <c r="W356" s="629"/>
      <c r="X356" s="629"/>
      <c r="Y356" s="629"/>
      <c r="Z356" s="629"/>
      <c r="AA356" s="629"/>
      <c r="AB356" s="630"/>
    </row>
    <row r="357" spans="1:39" ht="25.05" customHeight="1">
      <c r="A357" s="859"/>
      <c r="B357" s="1357" t="s">
        <v>6</v>
      </c>
      <c r="C357" s="1357"/>
      <c r="D357" s="1357"/>
      <c r="E357" s="1357"/>
      <c r="F357" s="1357"/>
      <c r="G357" s="1357"/>
      <c r="H357" s="1357"/>
      <c r="I357" s="1357"/>
      <c r="J357" s="1357"/>
      <c r="K357" s="1357"/>
      <c r="L357" s="1357"/>
      <c r="M357" s="1357"/>
      <c r="N357" s="868"/>
      <c r="O357" s="629"/>
      <c r="P357" s="629"/>
      <c r="Q357" s="629"/>
      <c r="R357" s="629"/>
      <c r="S357" s="629"/>
      <c r="T357" s="629"/>
      <c r="U357" s="629"/>
      <c r="V357" s="629"/>
      <c r="W357" s="629"/>
      <c r="X357" s="629"/>
      <c r="Y357" s="629"/>
      <c r="Z357" s="629"/>
      <c r="AA357" s="629"/>
      <c r="AB357" s="630"/>
    </row>
    <row r="358" spans="1:39" ht="30" customHeight="1">
      <c r="A358" s="856"/>
      <c r="B358" s="1358" t="str">
        <f>IF($H$115="",$AD$1379,$AD$1377)</f>
        <v>Listen</v>
      </c>
      <c r="C358" s="1358"/>
      <c r="D358" s="1358"/>
      <c r="E358" s="1358"/>
      <c r="F358" s="1358"/>
      <c r="G358" s="1358"/>
      <c r="H358" s="1359" t="str">
        <f>IF($H$115="",$AG$1379,$AG$1377)</f>
        <v>Listen</v>
      </c>
      <c r="I358" s="1359"/>
      <c r="J358" s="1359"/>
      <c r="K358" s="1359"/>
      <c r="L358" s="1359"/>
      <c r="M358" s="1359"/>
      <c r="N358" s="866"/>
      <c r="O358" s="629"/>
      <c r="P358" s="629"/>
      <c r="Q358" s="629"/>
      <c r="R358" s="629"/>
      <c r="S358" s="629"/>
      <c r="T358" s="629"/>
      <c r="U358" s="629"/>
      <c r="V358" s="629"/>
      <c r="W358" s="629"/>
      <c r="X358" s="629"/>
      <c r="Y358" s="629"/>
      <c r="Z358" s="629"/>
      <c r="AA358" s="629"/>
      <c r="AB358" s="630"/>
    </row>
    <row r="359" spans="1:39" ht="19.95" customHeight="1">
      <c r="A359" s="856"/>
      <c r="B359" s="1360" t="str">
        <f>AI359</f>
        <v>I hear your need for more personal liberty, to address your needs freely on your own.</v>
      </c>
      <c r="C359" s="1360"/>
      <c r="D359" s="1360"/>
      <c r="E359" s="1360"/>
      <c r="F359" s="1360"/>
      <c r="G359" s="1360"/>
      <c r="H359" s="1333" t="str">
        <f>AI361</f>
        <v>I hear your need for protections from historically unfair practices of discrimination.</v>
      </c>
      <c r="I359" s="1333"/>
      <c r="J359" s="1333"/>
      <c r="K359" s="1333"/>
      <c r="L359" s="1333"/>
      <c r="M359" s="1333"/>
      <c r="N359" s="866"/>
      <c r="O359" s="629"/>
      <c r="P359" s="629"/>
      <c r="Q359" s="629"/>
      <c r="R359" s="629"/>
      <c r="S359" s="629"/>
      <c r="T359" s="629"/>
      <c r="U359" s="629"/>
      <c r="V359" s="629"/>
      <c r="W359" s="629"/>
      <c r="X359" s="629"/>
      <c r="Y359" s="629"/>
      <c r="Z359" s="629"/>
      <c r="AA359" s="629"/>
      <c r="AB359" s="630"/>
      <c r="AI359" s="896" t="str">
        <f>IF($H$115="",AM359,AK359)</f>
        <v>I hear your need for more personal liberty, to address your needs freely on your own.</v>
      </c>
      <c r="AK359" s="465" t="str">
        <f>$P$1377</f>
        <v/>
      </c>
      <c r="AM359" s="734" t="s">
        <v>3202</v>
      </c>
    </row>
    <row r="360" spans="1:39" ht="19.95" customHeight="1">
      <c r="A360" s="856"/>
      <c r="B360" s="1360"/>
      <c r="C360" s="1360"/>
      <c r="D360" s="1360"/>
      <c r="E360" s="1360"/>
      <c r="F360" s="1360"/>
      <c r="G360" s="1360"/>
      <c r="H360" s="1333"/>
      <c r="I360" s="1333"/>
      <c r="J360" s="1333"/>
      <c r="K360" s="1333"/>
      <c r="L360" s="1333"/>
      <c r="M360" s="1333"/>
      <c r="N360" s="866"/>
      <c r="O360" s="629"/>
      <c r="P360" s="629"/>
      <c r="Q360" s="629"/>
      <c r="R360" s="629"/>
      <c r="S360" s="629"/>
      <c r="T360" s="629"/>
      <c r="U360" s="629"/>
      <c r="V360" s="629"/>
      <c r="W360" s="629"/>
      <c r="X360" s="629"/>
      <c r="Y360" s="629"/>
      <c r="Z360" s="629"/>
      <c r="AA360" s="629"/>
      <c r="AB360" s="630"/>
    </row>
    <row r="361" spans="1:39" ht="19.95" customHeight="1">
      <c r="A361" s="856"/>
      <c r="B361" s="1360"/>
      <c r="C361" s="1360"/>
      <c r="D361" s="1360"/>
      <c r="E361" s="1360"/>
      <c r="F361" s="1360"/>
      <c r="G361" s="1360"/>
      <c r="H361" s="1333"/>
      <c r="I361" s="1333"/>
      <c r="J361" s="1333"/>
      <c r="K361" s="1333"/>
      <c r="L361" s="1333"/>
      <c r="M361" s="1333"/>
      <c r="N361" s="866"/>
      <c r="O361" s="629"/>
      <c r="P361" s="629"/>
      <c r="Q361" s="629"/>
      <c r="R361" s="629"/>
      <c r="S361" s="629"/>
      <c r="T361" s="629"/>
      <c r="U361" s="629"/>
      <c r="V361" s="629"/>
      <c r="W361" s="629"/>
      <c r="X361" s="629"/>
      <c r="Y361" s="629"/>
      <c r="Z361" s="629"/>
      <c r="AA361" s="629"/>
      <c r="AB361" s="630"/>
      <c r="AI361" s="898" t="str">
        <f>IF($H$115="",AM361,AK361)</f>
        <v>I hear your need for protections from historically unfair practices of discrimination.</v>
      </c>
      <c r="AK361" s="465" t="str">
        <f>$S$1377</f>
        <v/>
      </c>
      <c r="AM361" s="734" t="s">
        <v>3198</v>
      </c>
    </row>
    <row r="362" spans="1:39" ht="19.95" customHeight="1">
      <c r="A362" s="856"/>
      <c r="B362" s="1360"/>
      <c r="C362" s="1360"/>
      <c r="D362" s="1360"/>
      <c r="E362" s="1360"/>
      <c r="F362" s="1360"/>
      <c r="G362" s="1360"/>
      <c r="H362" s="1333"/>
      <c r="I362" s="1333"/>
      <c r="J362" s="1333"/>
      <c r="K362" s="1333"/>
      <c r="L362" s="1333"/>
      <c r="M362" s="1333"/>
      <c r="N362" s="866"/>
      <c r="O362" s="629"/>
      <c r="P362" s="629"/>
      <c r="Q362" s="629"/>
      <c r="R362" s="629"/>
      <c r="S362" s="629"/>
      <c r="T362" s="629"/>
      <c r="U362" s="629"/>
      <c r="V362" s="629"/>
      <c r="W362" s="629"/>
      <c r="X362" s="629"/>
      <c r="Y362" s="629"/>
      <c r="Z362" s="629"/>
      <c r="AA362" s="629"/>
      <c r="AB362" s="630"/>
    </row>
    <row r="363" spans="1:39" ht="4.95" customHeight="1">
      <c r="A363" s="856"/>
      <c r="B363" s="3"/>
      <c r="C363" s="3"/>
      <c r="D363" s="3"/>
      <c r="E363" s="3"/>
      <c r="F363" s="3"/>
      <c r="G363" s="3"/>
      <c r="H363" s="626"/>
      <c r="I363" s="626"/>
      <c r="J363" s="626"/>
      <c r="K363" s="626"/>
      <c r="L363" s="626"/>
      <c r="M363" s="626"/>
      <c r="N363" s="866"/>
      <c r="O363" s="629"/>
      <c r="P363" s="629"/>
      <c r="Q363" s="629"/>
      <c r="R363" s="629"/>
      <c r="S363" s="629"/>
      <c r="T363" s="629"/>
      <c r="U363" s="629"/>
      <c r="V363" s="629"/>
      <c r="W363" s="629"/>
      <c r="X363" s="629"/>
      <c r="Y363" s="629"/>
      <c r="Z363" s="629"/>
      <c r="AA363" s="629"/>
      <c r="AB363" s="630"/>
    </row>
    <row r="364" spans="1:39" ht="25.05" customHeight="1">
      <c r="A364" s="859"/>
      <c r="B364" s="1357" t="s">
        <v>8</v>
      </c>
      <c r="C364" s="1357"/>
      <c r="D364" s="1357"/>
      <c r="E364" s="1357"/>
      <c r="F364" s="1357"/>
      <c r="G364" s="1357"/>
      <c r="H364" s="1357"/>
      <c r="I364" s="1357"/>
      <c r="J364" s="1357"/>
      <c r="K364" s="1357"/>
      <c r="L364" s="1357"/>
      <c r="M364" s="1357"/>
      <c r="N364" s="868"/>
      <c r="O364" s="629"/>
      <c r="P364" s="629"/>
      <c r="Q364" s="629"/>
      <c r="R364" s="629"/>
      <c r="S364" s="629"/>
      <c r="T364" s="629"/>
      <c r="U364" s="629"/>
      <c r="V364" s="629"/>
      <c r="W364" s="629"/>
      <c r="X364" s="629"/>
      <c r="Y364" s="629"/>
      <c r="Z364" s="629"/>
      <c r="AA364" s="629"/>
      <c r="AB364" s="630"/>
    </row>
    <row r="365" spans="1:39" ht="30" customHeight="1">
      <c r="A365" s="856"/>
      <c r="B365" s="1358" t="str">
        <f>IF($H$115="",$AE$1379,$AE$1377)</f>
        <v>Affirm</v>
      </c>
      <c r="C365" s="1358"/>
      <c r="D365" s="1358"/>
      <c r="E365" s="1358"/>
      <c r="F365" s="1358"/>
      <c r="G365" s="1358"/>
      <c r="H365" s="1359" t="str">
        <f>IF($H$115="",$AH$1379,$AH$1377)</f>
        <v>Affirm</v>
      </c>
      <c r="I365" s="1359"/>
      <c r="J365" s="1359"/>
      <c r="K365" s="1359"/>
      <c r="L365" s="1359"/>
      <c r="M365" s="1359"/>
      <c r="N365" s="866"/>
      <c r="O365" s="629"/>
      <c r="P365" s="629"/>
      <c r="Q365" s="629"/>
      <c r="R365" s="629"/>
      <c r="S365" s="629"/>
      <c r="T365" s="629"/>
      <c r="U365" s="629"/>
      <c r="V365" s="629"/>
      <c r="W365" s="629"/>
      <c r="X365" s="629"/>
      <c r="Y365" s="629"/>
      <c r="Z365" s="629"/>
      <c r="AA365" s="629"/>
      <c r="AB365" s="630"/>
    </row>
    <row r="366" spans="1:39" ht="19.95" customHeight="1">
      <c r="A366" s="856"/>
      <c r="B366" s="1360" t="str">
        <f>AI366</f>
        <v>I affirm your need for greater personal space to make the most of life.</v>
      </c>
      <c r="C366" s="1360"/>
      <c r="D366" s="1360"/>
      <c r="E366" s="1360"/>
      <c r="F366" s="1360"/>
      <c r="G366" s="1360"/>
      <c r="H366" s="1333" t="str">
        <f>AI368</f>
        <v>I affirm your need for greater protections from unchecked exploitations.</v>
      </c>
      <c r="I366" s="1333"/>
      <c r="J366" s="1333"/>
      <c r="K366" s="1333"/>
      <c r="L366" s="1333"/>
      <c r="M366" s="1333"/>
      <c r="N366" s="866"/>
      <c r="O366" s="629"/>
      <c r="P366" s="629"/>
      <c r="Q366" s="629"/>
      <c r="R366" s="629"/>
      <c r="S366" s="629"/>
      <c r="T366" s="629"/>
      <c r="U366" s="629"/>
      <c r="V366" s="629"/>
      <c r="W366" s="629"/>
      <c r="X366" s="629"/>
      <c r="Y366" s="629"/>
      <c r="Z366" s="629"/>
      <c r="AA366" s="629"/>
      <c r="AB366" s="630"/>
      <c r="AI366" s="896" t="str">
        <f>IF($H$115="",AM366,AK366)</f>
        <v>I affirm your need for greater personal space to make the most of life.</v>
      </c>
      <c r="AK366" s="465" t="str">
        <f>$Q$1377</f>
        <v/>
      </c>
      <c r="AM366" s="734" t="s">
        <v>3203</v>
      </c>
    </row>
    <row r="367" spans="1:39" ht="19.95" customHeight="1">
      <c r="A367" s="856"/>
      <c r="B367" s="1360"/>
      <c r="C367" s="1360"/>
      <c r="D367" s="1360"/>
      <c r="E367" s="1360"/>
      <c r="F367" s="1360"/>
      <c r="G367" s="1360"/>
      <c r="H367" s="1333"/>
      <c r="I367" s="1333"/>
      <c r="J367" s="1333"/>
      <c r="K367" s="1333"/>
      <c r="L367" s="1333"/>
      <c r="M367" s="1333"/>
      <c r="N367" s="866"/>
      <c r="O367" s="629"/>
      <c r="P367" s="629"/>
      <c r="Q367" s="629"/>
      <c r="R367" s="629"/>
      <c r="S367" s="629"/>
      <c r="T367" s="629"/>
      <c r="U367" s="629"/>
      <c r="V367" s="629"/>
      <c r="W367" s="629"/>
      <c r="X367" s="629"/>
      <c r="Y367" s="629"/>
      <c r="Z367" s="629"/>
      <c r="AA367" s="629"/>
      <c r="AB367" s="630"/>
    </row>
    <row r="368" spans="1:39" ht="19.95" customHeight="1">
      <c r="A368" s="856"/>
      <c r="B368" s="1360"/>
      <c r="C368" s="1360"/>
      <c r="D368" s="1360"/>
      <c r="E368" s="1360"/>
      <c r="F368" s="1360"/>
      <c r="G368" s="1360"/>
      <c r="H368" s="1333"/>
      <c r="I368" s="1333"/>
      <c r="J368" s="1333"/>
      <c r="K368" s="1333"/>
      <c r="L368" s="1333"/>
      <c r="M368" s="1333"/>
      <c r="N368" s="866"/>
      <c r="O368" s="629"/>
      <c r="P368" s="629"/>
      <c r="Q368" s="629"/>
      <c r="R368" s="629"/>
      <c r="S368" s="629"/>
      <c r="T368" s="629"/>
      <c r="U368" s="629"/>
      <c r="V368" s="629"/>
      <c r="W368" s="629"/>
      <c r="X368" s="629"/>
      <c r="Y368" s="629"/>
      <c r="Z368" s="629"/>
      <c r="AA368" s="629"/>
      <c r="AB368" s="630"/>
      <c r="AI368" s="898" t="str">
        <f>IF($H$115="",AM368,AK368)</f>
        <v>I affirm your need for greater protections from unchecked exploitations.</v>
      </c>
      <c r="AK368" s="465" t="str">
        <f>$T$1377</f>
        <v/>
      </c>
      <c r="AM368" s="734" t="s">
        <v>3199</v>
      </c>
    </row>
    <row r="369" spans="1:47" ht="19.95" customHeight="1">
      <c r="A369" s="856"/>
      <c r="B369" s="1360"/>
      <c r="C369" s="1360"/>
      <c r="D369" s="1360"/>
      <c r="E369" s="1360"/>
      <c r="F369" s="1360"/>
      <c r="G369" s="1360"/>
      <c r="H369" s="1333"/>
      <c r="I369" s="1333"/>
      <c r="J369" s="1333"/>
      <c r="K369" s="1333"/>
      <c r="L369" s="1333"/>
      <c r="M369" s="1333"/>
      <c r="N369" s="866"/>
      <c r="O369" s="629"/>
      <c r="P369" s="629"/>
      <c r="Q369" s="629"/>
      <c r="R369" s="629"/>
      <c r="S369" s="629"/>
      <c r="T369" s="629"/>
      <c r="U369" s="629"/>
      <c r="V369" s="629"/>
      <c r="W369" s="629"/>
      <c r="X369" s="629"/>
      <c r="Y369" s="629"/>
      <c r="Z369" s="629"/>
      <c r="AA369" s="629"/>
      <c r="AB369" s="630"/>
    </row>
    <row r="370" spans="1:47" ht="4.95" customHeight="1">
      <c r="A370" s="856"/>
      <c r="B370" s="614"/>
      <c r="C370" s="614"/>
      <c r="D370" s="614"/>
      <c r="E370" s="614"/>
      <c r="F370" s="614"/>
      <c r="G370" s="614"/>
      <c r="H370" s="613"/>
      <c r="I370" s="613"/>
      <c r="J370" s="613"/>
      <c r="K370" s="613"/>
      <c r="L370" s="613"/>
      <c r="M370" s="613"/>
      <c r="N370" s="866"/>
      <c r="O370" s="629"/>
      <c r="P370" s="629"/>
      <c r="Q370" s="629"/>
      <c r="R370" s="629"/>
      <c r="S370" s="629"/>
      <c r="T370" s="629"/>
      <c r="U370" s="629"/>
      <c r="V370" s="629"/>
      <c r="W370" s="629"/>
      <c r="X370" s="629"/>
      <c r="Y370" s="629"/>
      <c r="Z370" s="629"/>
      <c r="AA370" s="629"/>
      <c r="AB370" s="630"/>
    </row>
    <row r="371" spans="1:47" ht="25.05" customHeight="1">
      <c r="A371" s="859"/>
      <c r="B371" s="1357" t="s">
        <v>10</v>
      </c>
      <c r="C371" s="1357"/>
      <c r="D371" s="1357"/>
      <c r="E371" s="1357"/>
      <c r="F371" s="1357"/>
      <c r="G371" s="1357"/>
      <c r="H371" s="1357"/>
      <c r="I371" s="1357"/>
      <c r="J371" s="1357"/>
      <c r="K371" s="1357"/>
      <c r="L371" s="1357"/>
      <c r="M371" s="1357"/>
      <c r="N371" s="868"/>
      <c r="O371" s="629"/>
      <c r="P371" s="629"/>
      <c r="Q371" s="629"/>
      <c r="R371" s="629"/>
      <c r="S371" s="629"/>
      <c r="T371" s="629"/>
      <c r="U371" s="629"/>
      <c r="V371" s="629"/>
      <c r="W371" s="629"/>
      <c r="X371" s="629"/>
      <c r="Y371" s="629"/>
      <c r="Z371" s="629"/>
      <c r="AA371" s="629"/>
      <c r="AB371" s="630"/>
    </row>
    <row r="372" spans="1:47" ht="30" customHeight="1">
      <c r="A372" s="856"/>
      <c r="B372" s="1358" t="str">
        <f>IF($H$115="",$AF$1379,$AF$1377)</f>
        <v>Offer</v>
      </c>
      <c r="C372" s="1358"/>
      <c r="D372" s="1358"/>
      <c r="E372" s="1358"/>
      <c r="F372" s="1358"/>
      <c r="G372" s="1358"/>
      <c r="H372" s="1359" t="str">
        <f>IF($H$115="",$AI$1379,$AI$1377)</f>
        <v>Offer</v>
      </c>
      <c r="I372" s="1359"/>
      <c r="J372" s="1359"/>
      <c r="K372" s="1359"/>
      <c r="L372" s="1359"/>
      <c r="M372" s="1359"/>
      <c r="N372" s="866"/>
      <c r="O372" s="629"/>
      <c r="P372" s="629"/>
      <c r="Q372" s="629"/>
      <c r="R372" s="629"/>
      <c r="S372" s="629"/>
      <c r="T372" s="629"/>
      <c r="U372" s="629"/>
      <c r="V372" s="629"/>
      <c r="W372" s="629"/>
      <c r="X372" s="629"/>
      <c r="Y372" s="629"/>
      <c r="Z372" s="629"/>
      <c r="AA372" s="629"/>
      <c r="AB372" s="630"/>
      <c r="AI372" s="37" t="str">
        <f>CONCATENATE(AK372,AL372,AM372,AN372)</f>
        <v/>
      </c>
    </row>
    <row r="373" spans="1:47" ht="19.95" customHeight="1">
      <c r="A373" s="856"/>
      <c r="B373" s="1334" t="str">
        <f>AI373</f>
        <v>I the more I support your need for less government in some areas, the more I count on you to support my need for more government in other areas.</v>
      </c>
      <c r="C373" s="1334"/>
      <c r="D373" s="1334"/>
      <c r="E373" s="1334"/>
      <c r="F373" s="1334"/>
      <c r="G373" s="1334"/>
      <c r="H373" s="1455" t="str">
        <f>AI375</f>
        <v>I the more I support your need for more government in some areas, the more I count on you to support my need for less government in other areas.</v>
      </c>
      <c r="I373" s="1455"/>
      <c r="J373" s="1455"/>
      <c r="K373" s="1455"/>
      <c r="L373" s="1455"/>
      <c r="M373" s="1455"/>
      <c r="N373" s="866"/>
      <c r="O373" s="629"/>
      <c r="P373" s="629"/>
      <c r="Q373" s="629"/>
      <c r="R373" s="629"/>
      <c r="S373" s="629"/>
      <c r="T373" s="629"/>
      <c r="U373" s="629"/>
      <c r="V373" s="629"/>
      <c r="W373" s="629"/>
      <c r="X373" s="629"/>
      <c r="Y373" s="629"/>
      <c r="Z373" s="629"/>
      <c r="AA373" s="629"/>
      <c r="AB373" s="630"/>
      <c r="AI373" s="896" t="str">
        <f>IF($H$115="",AM373,AK373)</f>
        <v>I the more I support your need for less government in some areas, the more I count on you to support my need for more government in other areas.</v>
      </c>
      <c r="AK373" s="465" t="str">
        <f>$R$1377</f>
        <v/>
      </c>
      <c r="AM373" s="734" t="s">
        <v>3200</v>
      </c>
    </row>
    <row r="374" spans="1:47" ht="19.95" customHeight="1">
      <c r="A374" s="856"/>
      <c r="B374" s="1334"/>
      <c r="C374" s="1334"/>
      <c r="D374" s="1334"/>
      <c r="E374" s="1334"/>
      <c r="F374" s="1334"/>
      <c r="G374" s="1334"/>
      <c r="H374" s="1455"/>
      <c r="I374" s="1455"/>
      <c r="J374" s="1455"/>
      <c r="K374" s="1455"/>
      <c r="L374" s="1455"/>
      <c r="M374" s="1455"/>
      <c r="N374" s="866"/>
      <c r="O374" s="629"/>
      <c r="P374" s="629"/>
      <c r="Q374" s="629"/>
      <c r="R374" s="629"/>
      <c r="S374" s="629"/>
      <c r="T374" s="629"/>
      <c r="U374" s="629"/>
      <c r="V374" s="629"/>
      <c r="W374" s="629"/>
      <c r="X374" s="629"/>
      <c r="Y374" s="629"/>
      <c r="Z374" s="629"/>
      <c r="AA374" s="629"/>
      <c r="AB374" s="630"/>
    </row>
    <row r="375" spans="1:47" ht="19.95" customHeight="1">
      <c r="A375" s="856"/>
      <c r="B375" s="1334"/>
      <c r="C375" s="1334"/>
      <c r="D375" s="1334"/>
      <c r="E375" s="1334"/>
      <c r="F375" s="1334"/>
      <c r="G375" s="1334"/>
      <c r="H375" s="1455"/>
      <c r="I375" s="1455"/>
      <c r="J375" s="1455"/>
      <c r="K375" s="1455"/>
      <c r="L375" s="1455"/>
      <c r="M375" s="1455"/>
      <c r="N375" s="866"/>
      <c r="O375" s="629"/>
      <c r="P375" s="629"/>
      <c r="Q375" s="629"/>
      <c r="R375" s="629"/>
      <c r="S375" s="629"/>
      <c r="T375" s="629"/>
      <c r="U375" s="629"/>
      <c r="V375" s="629"/>
      <c r="W375" s="629"/>
      <c r="X375" s="629"/>
      <c r="Y375" s="629"/>
      <c r="Z375" s="629"/>
      <c r="AA375" s="629"/>
      <c r="AB375" s="630"/>
      <c r="AI375" s="898" t="str">
        <f>IF($H$115="",AM375,AK375)</f>
        <v>I the more I support your need for more government in some areas, the more I count on you to support my need for less government in other areas.</v>
      </c>
      <c r="AK375" s="465" t="str">
        <f>$U$1377</f>
        <v/>
      </c>
      <c r="AM375" s="734" t="s">
        <v>3201</v>
      </c>
    </row>
    <row r="376" spans="1:47" ht="19.95" customHeight="1">
      <c r="A376" s="856"/>
      <c r="B376" s="1334"/>
      <c r="C376" s="1334"/>
      <c r="D376" s="1334"/>
      <c r="E376" s="1334"/>
      <c r="F376" s="1334"/>
      <c r="G376" s="1334"/>
      <c r="H376" s="1455"/>
      <c r="I376" s="1455"/>
      <c r="J376" s="1455"/>
      <c r="K376" s="1455"/>
      <c r="L376" s="1455"/>
      <c r="M376" s="1455"/>
      <c r="N376" s="866"/>
      <c r="O376" s="629"/>
      <c r="P376" s="629"/>
      <c r="Q376" s="629"/>
      <c r="R376" s="629"/>
      <c r="S376" s="629"/>
      <c r="T376" s="629"/>
      <c r="U376" s="629"/>
      <c r="V376" s="629"/>
      <c r="W376" s="629"/>
      <c r="X376" s="629"/>
      <c r="Y376" s="629"/>
      <c r="Z376" s="629"/>
      <c r="AA376" s="629"/>
      <c r="AB376" s="630"/>
      <c r="AI376" s="37"/>
    </row>
    <row r="377" spans="1:47" ht="19.95" customHeight="1">
      <c r="A377" s="856"/>
      <c r="B377" s="1334"/>
      <c r="C377" s="1334"/>
      <c r="D377" s="1334"/>
      <c r="E377" s="1334"/>
      <c r="F377" s="1334"/>
      <c r="G377" s="1334"/>
      <c r="H377" s="1455"/>
      <c r="I377" s="1455"/>
      <c r="J377" s="1455"/>
      <c r="K377" s="1455"/>
      <c r="L377" s="1455"/>
      <c r="M377" s="1455"/>
      <c r="N377" s="866"/>
      <c r="O377" s="629"/>
      <c r="P377" s="629"/>
      <c r="Q377" s="629"/>
      <c r="R377" s="629"/>
      <c r="S377" s="629"/>
      <c r="T377" s="629"/>
      <c r="U377" s="629"/>
      <c r="V377" s="629"/>
      <c r="W377" s="629"/>
      <c r="X377" s="629"/>
      <c r="Y377" s="629"/>
      <c r="Z377" s="629"/>
      <c r="AA377" s="629"/>
      <c r="AB377" s="630"/>
    </row>
    <row r="378" spans="1:47" ht="10.050000000000001" customHeight="1">
      <c r="A378" s="853"/>
      <c r="B378" s="629"/>
      <c r="C378" s="629"/>
      <c r="D378" s="629"/>
      <c r="E378" s="629"/>
      <c r="F378" s="629"/>
      <c r="G378" s="629"/>
      <c r="H378" s="629"/>
      <c r="I378" s="629"/>
      <c r="J378" s="629"/>
      <c r="K378" s="629"/>
      <c r="L378" s="629"/>
      <c r="M378" s="629"/>
      <c r="N378" s="862"/>
      <c r="O378" s="629"/>
      <c r="P378" s="629"/>
      <c r="Q378" s="629"/>
      <c r="R378" s="629"/>
      <c r="S378" s="629"/>
      <c r="T378" s="629"/>
      <c r="U378" s="629"/>
      <c r="V378" s="629"/>
      <c r="W378" s="629"/>
      <c r="X378" s="629"/>
      <c r="Y378" s="629"/>
      <c r="Z378" s="629"/>
      <c r="AA378" s="629"/>
      <c r="AB378" s="630"/>
    </row>
    <row r="379" spans="1:47" ht="4.95" customHeight="1">
      <c r="A379" s="853"/>
      <c r="B379" s="629"/>
      <c r="C379" s="629"/>
      <c r="D379" s="629"/>
      <c r="E379" s="629"/>
      <c r="F379" s="629"/>
      <c r="G379" s="629"/>
      <c r="H379" s="629"/>
      <c r="I379" s="629"/>
      <c r="J379" s="629"/>
      <c r="K379" s="629"/>
      <c r="L379" s="629"/>
      <c r="M379" s="629"/>
      <c r="N379" s="862"/>
      <c r="O379" s="629"/>
      <c r="P379" s="629"/>
      <c r="Q379" s="629"/>
      <c r="R379" s="629"/>
      <c r="S379" s="629"/>
      <c r="T379" s="629"/>
      <c r="U379" s="629"/>
      <c r="V379" s="629"/>
      <c r="W379" s="629"/>
      <c r="X379" s="629"/>
      <c r="Y379" s="629"/>
      <c r="Z379" s="629"/>
      <c r="AA379" s="629"/>
      <c r="AB379" s="630"/>
    </row>
    <row r="380" spans="1:47" ht="19.95" customHeight="1">
      <c r="A380" s="853"/>
      <c r="B380" s="1375" t="str">
        <f>AI380</f>
        <v xml:space="preserve">Love shifts your focus away from your prioritizing only your politicized needs to empathizing with their impacted needs. Once you encounter each other's specific needs, you draw much closer to resolving them. </v>
      </c>
      <c r="C380" s="1375"/>
      <c r="D380" s="1375"/>
      <c r="E380" s="1375"/>
      <c r="F380" s="1375"/>
      <c r="G380" s="1375"/>
      <c r="H380" s="1375"/>
      <c r="I380" s="1375"/>
      <c r="J380" s="1375"/>
      <c r="K380" s="1375"/>
      <c r="L380" s="1375"/>
      <c r="M380" s="1375"/>
      <c r="N380" s="862"/>
      <c r="O380" s="629"/>
      <c r="P380" s="629"/>
      <c r="Q380" s="629"/>
      <c r="R380" s="629"/>
      <c r="S380" s="629"/>
      <c r="T380" s="629"/>
      <c r="U380" s="629"/>
      <c r="V380" s="629"/>
      <c r="W380" s="629"/>
      <c r="X380" s="629"/>
      <c r="Y380" s="629"/>
      <c r="Z380" s="629"/>
      <c r="AA380" s="629"/>
      <c r="AB380" s="630"/>
      <c r="AI380" s="37" t="str">
        <f>IF(H$115="",AK381,CONCATENATE(AK380,AL380,AM380,AN380,AO380,AP380,AQ380,AR380))</f>
        <v xml:space="preserve">Love shifts your focus away from your prioritizing only your politicized needs to empathizing with their impacted needs. Once you encounter each other's specific needs, you draw much closer to resolving them. </v>
      </c>
      <c r="AK380" s="465" t="s">
        <v>2472</v>
      </c>
      <c r="AL380" s="2" t="str">
        <f>D1300</f>
        <v/>
      </c>
      <c r="AM380" s="465" t="s">
        <v>2452</v>
      </c>
      <c r="AN380" s="2" t="str">
        <f>AL380</f>
        <v/>
      </c>
      <c r="AO380" s="465" t="s">
        <v>2473</v>
      </c>
      <c r="AP380" s="2" t="str">
        <f>AN380</f>
        <v/>
      </c>
      <c r="AQ380" s="465" t="s">
        <v>2453</v>
      </c>
      <c r="AR380" s="465" t="s">
        <v>2542</v>
      </c>
    </row>
    <row r="381" spans="1:47" ht="19.95" customHeight="1">
      <c r="A381" s="853"/>
      <c r="B381" s="1375"/>
      <c r="C381" s="1375"/>
      <c r="D381" s="1375"/>
      <c r="E381" s="1375"/>
      <c r="F381" s="1375"/>
      <c r="G381" s="1375"/>
      <c r="H381" s="1375"/>
      <c r="I381" s="1375"/>
      <c r="J381" s="1375"/>
      <c r="K381" s="1375"/>
      <c r="L381" s="1375"/>
      <c r="M381" s="1375"/>
      <c r="N381" s="862"/>
      <c r="O381" s="629"/>
      <c r="P381" s="629"/>
      <c r="Q381" s="629"/>
      <c r="R381" s="629"/>
      <c r="S381" s="629"/>
      <c r="T381" s="629"/>
      <c r="U381" s="629"/>
      <c r="V381" s="629"/>
      <c r="W381" s="629"/>
      <c r="X381" s="629"/>
      <c r="Y381" s="629"/>
      <c r="Z381" s="629"/>
      <c r="AA381" s="629"/>
      <c r="AB381" s="630"/>
      <c r="AI381" s="37"/>
      <c r="AJ381" s="37"/>
      <c r="AK381" s="734" t="s">
        <v>2451</v>
      </c>
      <c r="AL381" s="37"/>
      <c r="AM381" s="37"/>
      <c r="AN381" s="37"/>
      <c r="AO381" s="37"/>
      <c r="AP381" s="37"/>
      <c r="AQ381" s="37"/>
      <c r="AR381" s="897" t="s">
        <v>2474</v>
      </c>
      <c r="AS381" s="37"/>
      <c r="AT381" s="37"/>
      <c r="AU381" s="37"/>
    </row>
    <row r="382" spans="1:47" ht="19.95" customHeight="1">
      <c r="A382" s="853"/>
      <c r="B382" s="1375"/>
      <c r="C382" s="1375"/>
      <c r="D382" s="1375"/>
      <c r="E382" s="1375"/>
      <c r="F382" s="1375"/>
      <c r="G382" s="1375"/>
      <c r="H382" s="1375"/>
      <c r="I382" s="1375"/>
      <c r="J382" s="1375"/>
      <c r="K382" s="1375"/>
      <c r="L382" s="1375"/>
      <c r="M382" s="1375"/>
      <c r="N382" s="862"/>
      <c r="O382" s="629"/>
      <c r="P382" s="629"/>
      <c r="Q382" s="629"/>
      <c r="R382" s="629"/>
      <c r="S382" s="629"/>
      <c r="T382" s="629"/>
      <c r="U382" s="629"/>
      <c r="V382" s="629"/>
      <c r="W382" s="629"/>
      <c r="X382" s="629"/>
      <c r="Y382" s="629"/>
      <c r="Z382" s="629"/>
      <c r="AA382" s="629"/>
      <c r="AB382" s="630"/>
      <c r="AI382" s="37"/>
    </row>
    <row r="383" spans="1:47" ht="19.95" customHeight="1">
      <c r="A383" s="853"/>
      <c r="B383" s="1375"/>
      <c r="C383" s="1375"/>
      <c r="D383" s="1375"/>
      <c r="E383" s="1375"/>
      <c r="F383" s="1375"/>
      <c r="G383" s="1375"/>
      <c r="H383" s="1375"/>
      <c r="I383" s="1375"/>
      <c r="J383" s="1375"/>
      <c r="K383" s="1375"/>
      <c r="L383" s="1375"/>
      <c r="M383" s="1375"/>
      <c r="N383" s="862"/>
      <c r="O383" s="629"/>
      <c r="P383" s="629"/>
      <c r="Q383" s="629"/>
      <c r="R383" s="629"/>
      <c r="S383" s="629"/>
      <c r="T383" s="629"/>
      <c r="U383" s="629"/>
      <c r="V383" s="629"/>
      <c r="W383" s="629"/>
      <c r="X383" s="629"/>
      <c r="Y383" s="629"/>
      <c r="Z383" s="629"/>
      <c r="AA383" s="629"/>
      <c r="AB383" s="630"/>
      <c r="AI383" s="37"/>
    </row>
    <row r="384" spans="1:47" ht="19.95" customHeight="1">
      <c r="A384" s="853"/>
      <c r="B384" s="1375"/>
      <c r="C384" s="1375"/>
      <c r="D384" s="1375"/>
      <c r="E384" s="1375"/>
      <c r="F384" s="1375"/>
      <c r="G384" s="1375"/>
      <c r="H384" s="1375"/>
      <c r="I384" s="1375"/>
      <c r="J384" s="1375"/>
      <c r="K384" s="1375"/>
      <c r="L384" s="1375"/>
      <c r="M384" s="1375"/>
      <c r="N384" s="862"/>
      <c r="O384" s="629"/>
      <c r="P384" s="629"/>
      <c r="Q384" s="629"/>
      <c r="R384" s="629"/>
      <c r="S384" s="629"/>
      <c r="T384" s="629"/>
      <c r="U384" s="629"/>
      <c r="V384" s="629"/>
      <c r="W384" s="629"/>
      <c r="X384" s="629"/>
      <c r="Y384" s="629"/>
      <c r="Z384" s="629"/>
      <c r="AA384" s="629"/>
      <c r="AB384" s="630"/>
    </row>
    <row r="385" spans="1:39" ht="30" customHeight="1">
      <c r="A385" s="854" t="s">
        <v>1148</v>
      </c>
      <c r="B385" s="884" t="s">
        <v>2541</v>
      </c>
      <c r="C385" s="884"/>
      <c r="D385" s="884"/>
      <c r="E385" s="884"/>
      <c r="F385" s="884"/>
      <c r="G385" s="884"/>
      <c r="H385" s="884"/>
      <c r="I385" s="884"/>
      <c r="J385" s="884"/>
      <c r="K385" s="884"/>
      <c r="L385" s="884"/>
      <c r="M385" s="884"/>
      <c r="N385" s="865" t="s">
        <v>1149</v>
      </c>
      <c r="O385" s="860"/>
      <c r="P385" s="647"/>
      <c r="Q385" s="647"/>
      <c r="R385" s="647"/>
      <c r="S385" s="647"/>
      <c r="T385" s="647"/>
      <c r="U385" s="647"/>
      <c r="V385" s="647"/>
      <c r="W385" s="647"/>
      <c r="X385" s="647"/>
      <c r="Y385" s="647"/>
      <c r="Z385" s="647"/>
      <c r="AA385" s="647"/>
      <c r="AB385" s="650" t="s">
        <v>1149</v>
      </c>
      <c r="AE385" s="651"/>
      <c r="AI385" s="37" t="str">
        <f>CONCATENATE(AK385,AL385,AM385)</f>
        <v/>
      </c>
      <c r="AK385" s="465"/>
      <c r="AL385" s="2" t="str">
        <f>IF($H$115="","",CONCATENATE(D$1300," "))</f>
        <v/>
      </c>
      <c r="AM385" s="465"/>
    </row>
    <row r="386" spans="1:39" ht="10.050000000000001" customHeight="1">
      <c r="A386" s="853"/>
      <c r="B386" s="629"/>
      <c r="C386" s="629"/>
      <c r="D386" s="629"/>
      <c r="E386" s="629"/>
      <c r="F386" s="629"/>
      <c r="G386" s="629"/>
      <c r="H386" s="629"/>
      <c r="I386" s="629"/>
      <c r="J386" s="629"/>
      <c r="K386" s="629"/>
      <c r="L386" s="629"/>
      <c r="M386" s="629"/>
      <c r="N386" s="862"/>
      <c r="O386" s="629"/>
      <c r="P386" s="629"/>
      <c r="Q386" s="629"/>
      <c r="R386" s="629"/>
      <c r="S386" s="629"/>
      <c r="T386" s="629"/>
      <c r="U386" s="629"/>
      <c r="V386" s="629"/>
      <c r="W386" s="629"/>
      <c r="X386" s="629"/>
      <c r="Y386" s="629"/>
      <c r="Z386" s="629"/>
      <c r="AA386" s="629"/>
      <c r="AB386" s="630"/>
    </row>
    <row r="387" spans="1:39" ht="19.95" customHeight="1">
      <c r="A387" s="853"/>
      <c r="B387" s="707" t="s">
        <v>2540</v>
      </c>
      <c r="C387" s="631"/>
      <c r="D387" s="631"/>
      <c r="E387" s="631"/>
      <c r="F387" s="631"/>
      <c r="G387" s="631"/>
      <c r="H387" s="631"/>
      <c r="I387" s="631"/>
      <c r="J387" s="631"/>
      <c r="K387" s="631"/>
      <c r="L387" s="631"/>
      <c r="M387" s="631"/>
      <c r="N387" s="862"/>
      <c r="O387" s="629"/>
      <c r="P387" s="629"/>
      <c r="Q387" s="629"/>
      <c r="R387" s="629"/>
      <c r="S387" s="629"/>
      <c r="T387" s="629"/>
      <c r="U387" s="629"/>
      <c r="V387" s="629"/>
      <c r="W387" s="629"/>
      <c r="X387" s="629"/>
      <c r="Y387" s="629"/>
      <c r="Z387" s="629"/>
      <c r="AA387" s="629"/>
      <c r="AB387" s="630"/>
    </row>
    <row r="388" spans="1:39" ht="4.95" customHeight="1">
      <c r="A388" s="853"/>
      <c r="B388" s="631"/>
      <c r="C388" s="631"/>
      <c r="D388" s="631"/>
      <c r="E388" s="631"/>
      <c r="F388" s="631"/>
      <c r="G388" s="631"/>
      <c r="H388" s="631"/>
      <c r="I388" s="631"/>
      <c r="J388" s="631"/>
      <c r="K388" s="631"/>
      <c r="L388" s="631"/>
      <c r="M388" s="631"/>
      <c r="N388" s="862"/>
      <c r="O388" s="629"/>
      <c r="P388" s="629"/>
      <c r="Q388" s="629"/>
      <c r="R388" s="629"/>
      <c r="S388" s="629"/>
      <c r="T388" s="629"/>
      <c r="U388" s="629"/>
      <c r="V388" s="629"/>
      <c r="W388" s="629"/>
      <c r="X388" s="629"/>
      <c r="Y388" s="629"/>
      <c r="Z388" s="629"/>
      <c r="AA388" s="629"/>
      <c r="AB388" s="630"/>
    </row>
    <row r="389" spans="1:39" ht="19.95" customHeight="1">
      <c r="A389" s="853"/>
      <c r="B389" s="632"/>
      <c r="C389" s="631"/>
      <c r="D389" s="631"/>
      <c r="E389" s="631"/>
      <c r="F389" s="631"/>
      <c r="G389" s="631"/>
      <c r="H389" s="631"/>
      <c r="I389" s="631"/>
      <c r="J389" s="631"/>
      <c r="K389" s="631"/>
      <c r="L389" s="631"/>
      <c r="M389" s="631"/>
      <c r="N389" s="862"/>
      <c r="O389" s="629"/>
      <c r="P389" s="629"/>
      <c r="Q389" s="629"/>
      <c r="R389" s="629"/>
      <c r="S389" s="629"/>
      <c r="T389" s="629"/>
      <c r="U389" s="629"/>
      <c r="V389" s="629"/>
      <c r="W389" s="629"/>
      <c r="X389" s="629"/>
      <c r="Y389" s="629"/>
      <c r="Z389" s="629"/>
      <c r="AA389" s="629"/>
      <c r="AB389" s="630"/>
    </row>
    <row r="390" spans="1:39" ht="19.95" customHeight="1">
      <c r="A390" s="853"/>
      <c r="B390" s="1454"/>
      <c r="C390" s="1454"/>
      <c r="D390" s="1454"/>
      <c r="E390" s="1454"/>
      <c r="F390" s="1454"/>
      <c r="G390" s="1454"/>
      <c r="H390" s="1454"/>
      <c r="I390" s="1454"/>
      <c r="J390" s="1454"/>
      <c r="K390" s="1454"/>
      <c r="L390" s="1454"/>
      <c r="M390" s="1454"/>
      <c r="N390" s="862"/>
      <c r="O390" s="629"/>
      <c r="P390" s="629"/>
      <c r="Q390" s="629"/>
      <c r="R390" s="629"/>
      <c r="S390" s="629"/>
      <c r="T390" s="629"/>
      <c r="U390" s="629"/>
      <c r="V390" s="629"/>
      <c r="W390" s="629"/>
      <c r="X390" s="629"/>
      <c r="Y390" s="629"/>
      <c r="Z390" s="629"/>
      <c r="AA390" s="629"/>
      <c r="AB390" s="630"/>
    </row>
    <row r="391" spans="1:39" ht="19.95" customHeight="1">
      <c r="A391" s="853"/>
      <c r="B391" s="1454"/>
      <c r="C391" s="1454"/>
      <c r="D391" s="1454"/>
      <c r="E391" s="1454"/>
      <c r="F391" s="1454"/>
      <c r="G391" s="1454"/>
      <c r="H391" s="1454"/>
      <c r="I391" s="1454"/>
      <c r="J391" s="1454"/>
      <c r="K391" s="1454"/>
      <c r="L391" s="1454"/>
      <c r="M391" s="1454"/>
      <c r="N391" s="862"/>
      <c r="O391" s="629"/>
      <c r="P391" s="629"/>
      <c r="Q391" s="629"/>
      <c r="R391" s="629"/>
      <c r="S391" s="629"/>
      <c r="T391" s="629"/>
      <c r="U391" s="629"/>
      <c r="V391" s="629"/>
      <c r="W391" s="629"/>
      <c r="X391" s="629"/>
      <c r="Y391" s="629"/>
      <c r="Z391" s="629"/>
      <c r="AA391" s="629"/>
      <c r="AB391" s="630"/>
    </row>
    <row r="392" spans="1:39" ht="19.95" customHeight="1">
      <c r="A392" s="853"/>
      <c r="B392" s="1454"/>
      <c r="C392" s="1454"/>
      <c r="D392" s="1454"/>
      <c r="E392" s="1454"/>
      <c r="F392" s="1454"/>
      <c r="G392" s="1454"/>
      <c r="H392" s="1454"/>
      <c r="I392" s="1454"/>
      <c r="J392" s="1454"/>
      <c r="K392" s="1454"/>
      <c r="L392" s="1454"/>
      <c r="M392" s="1454"/>
      <c r="N392" s="862"/>
      <c r="O392" s="629"/>
      <c r="P392" s="629"/>
      <c r="Q392" s="629"/>
      <c r="R392" s="629"/>
      <c r="S392" s="629"/>
      <c r="T392" s="629"/>
      <c r="U392" s="629"/>
      <c r="V392" s="629"/>
      <c r="W392" s="629"/>
      <c r="X392" s="629"/>
      <c r="Y392" s="629"/>
      <c r="Z392" s="629"/>
      <c r="AA392" s="629"/>
      <c r="AB392" s="630"/>
    </row>
    <row r="393" spans="1:39" ht="19.95" customHeight="1">
      <c r="A393" s="853"/>
      <c r="B393" s="1454"/>
      <c r="C393" s="1454"/>
      <c r="D393" s="1454"/>
      <c r="E393" s="1454"/>
      <c r="F393" s="1454"/>
      <c r="G393" s="1454"/>
      <c r="H393" s="1454"/>
      <c r="I393" s="1454"/>
      <c r="J393" s="1454"/>
      <c r="K393" s="1454"/>
      <c r="L393" s="1454"/>
      <c r="M393" s="1454"/>
      <c r="N393" s="862"/>
      <c r="O393" s="629"/>
      <c r="P393" s="629"/>
      <c r="Q393" s="629"/>
      <c r="R393" s="629"/>
      <c r="S393" s="629"/>
      <c r="T393" s="629"/>
      <c r="U393" s="629"/>
      <c r="V393" s="629"/>
      <c r="W393" s="629"/>
      <c r="X393" s="629"/>
      <c r="Y393" s="629"/>
      <c r="Z393" s="629"/>
      <c r="AA393" s="629"/>
      <c r="AB393" s="630"/>
    </row>
    <row r="394" spans="1:39" ht="19.95" customHeight="1">
      <c r="A394" s="853"/>
      <c r="B394" s="1454"/>
      <c r="C394" s="1454"/>
      <c r="D394" s="1454"/>
      <c r="E394" s="1454"/>
      <c r="F394" s="1454"/>
      <c r="G394" s="1454"/>
      <c r="H394" s="1454"/>
      <c r="I394" s="1454"/>
      <c r="J394" s="1454"/>
      <c r="K394" s="1454"/>
      <c r="L394" s="1454"/>
      <c r="M394" s="1454"/>
      <c r="N394" s="862"/>
      <c r="O394" s="629"/>
      <c r="P394" s="629"/>
      <c r="Q394" s="629"/>
      <c r="R394" s="629"/>
      <c r="S394" s="629"/>
      <c r="T394" s="629"/>
      <c r="U394" s="629"/>
      <c r="V394" s="629"/>
      <c r="W394" s="629"/>
      <c r="X394" s="629"/>
      <c r="Y394" s="629"/>
      <c r="Z394" s="629"/>
      <c r="AA394" s="629"/>
      <c r="AB394" s="630"/>
    </row>
    <row r="395" spans="1:39" ht="19.95" customHeight="1">
      <c r="A395" s="853"/>
      <c r="B395" s="1454"/>
      <c r="C395" s="1454"/>
      <c r="D395" s="1454"/>
      <c r="E395" s="1454"/>
      <c r="F395" s="1454"/>
      <c r="G395" s="1454"/>
      <c r="H395" s="1454"/>
      <c r="I395" s="1454"/>
      <c r="J395" s="1454"/>
      <c r="K395" s="1454"/>
      <c r="L395" s="1454"/>
      <c r="M395" s="1454"/>
      <c r="N395" s="862"/>
      <c r="O395" s="629"/>
      <c r="P395" s="629"/>
      <c r="Q395" s="629"/>
      <c r="R395" s="629"/>
      <c r="S395" s="629"/>
      <c r="T395" s="629"/>
      <c r="U395" s="629"/>
      <c r="V395" s="629"/>
      <c r="W395" s="629"/>
      <c r="X395" s="629"/>
      <c r="Y395" s="629"/>
      <c r="Z395" s="629"/>
      <c r="AA395" s="629"/>
      <c r="AB395" s="630"/>
    </row>
    <row r="396" spans="1:39" ht="4.95" customHeight="1">
      <c r="A396" s="853"/>
      <c r="B396" s="629"/>
      <c r="C396" s="629"/>
      <c r="D396" s="629"/>
      <c r="E396" s="629"/>
      <c r="F396" s="629"/>
      <c r="G396" s="629"/>
      <c r="H396" s="629"/>
      <c r="I396" s="629"/>
      <c r="J396" s="629"/>
      <c r="K396" s="629"/>
      <c r="L396" s="629"/>
      <c r="M396" s="629"/>
      <c r="N396" s="862"/>
      <c r="O396" s="629"/>
      <c r="P396" s="629"/>
      <c r="Q396" s="629"/>
      <c r="R396" s="629"/>
      <c r="S396" s="629"/>
      <c r="T396" s="629"/>
      <c r="U396" s="629"/>
      <c r="V396" s="629"/>
      <c r="W396" s="629"/>
      <c r="X396" s="629"/>
      <c r="Y396" s="629"/>
      <c r="Z396" s="629"/>
      <c r="AA396" s="629"/>
      <c r="AB396" s="630"/>
    </row>
    <row r="397" spans="1:39" ht="19.95" customHeight="1">
      <c r="A397" s="853"/>
      <c r="B397" s="632"/>
      <c r="C397" s="629"/>
      <c r="D397" s="629"/>
      <c r="E397" s="629"/>
      <c r="F397" s="629"/>
      <c r="G397" s="629"/>
      <c r="H397" s="629"/>
      <c r="I397" s="629"/>
      <c r="J397" s="629"/>
      <c r="K397" s="629"/>
      <c r="L397" s="629"/>
      <c r="M397" s="629"/>
      <c r="N397" s="862"/>
      <c r="O397" s="629"/>
      <c r="P397" s="629"/>
      <c r="Q397" s="629"/>
      <c r="R397" s="629"/>
      <c r="S397" s="629"/>
      <c r="T397" s="629"/>
      <c r="U397" s="629"/>
      <c r="V397" s="629"/>
      <c r="W397" s="629"/>
      <c r="X397" s="629"/>
      <c r="Y397" s="629"/>
      <c r="Z397" s="629"/>
      <c r="AA397" s="629"/>
      <c r="AB397" s="630"/>
    </row>
    <row r="398" spans="1:39" ht="19.95" customHeight="1">
      <c r="A398" s="853"/>
      <c r="B398" s="1454"/>
      <c r="C398" s="1454"/>
      <c r="D398" s="1454"/>
      <c r="E398" s="1454"/>
      <c r="F398" s="1454"/>
      <c r="G398" s="1454"/>
      <c r="H398" s="1454"/>
      <c r="I398" s="1454"/>
      <c r="J398" s="1454"/>
      <c r="K398" s="1454"/>
      <c r="L398" s="1454"/>
      <c r="M398" s="1454"/>
      <c r="N398" s="862"/>
      <c r="O398" s="629"/>
      <c r="P398" s="629"/>
      <c r="Q398" s="629"/>
      <c r="R398" s="629"/>
      <c r="S398" s="629"/>
      <c r="T398" s="629"/>
      <c r="U398" s="629"/>
      <c r="V398" s="629"/>
      <c r="W398" s="629"/>
      <c r="X398" s="629"/>
      <c r="Y398" s="629"/>
      <c r="Z398" s="629"/>
      <c r="AA398" s="629"/>
      <c r="AB398" s="630"/>
    </row>
    <row r="399" spans="1:39" ht="19.95" customHeight="1">
      <c r="A399" s="853"/>
      <c r="B399" s="1454"/>
      <c r="C399" s="1454"/>
      <c r="D399" s="1454"/>
      <c r="E399" s="1454"/>
      <c r="F399" s="1454"/>
      <c r="G399" s="1454"/>
      <c r="H399" s="1454"/>
      <c r="I399" s="1454"/>
      <c r="J399" s="1454"/>
      <c r="K399" s="1454"/>
      <c r="L399" s="1454"/>
      <c r="M399" s="1454"/>
      <c r="N399" s="862"/>
      <c r="O399" s="629"/>
      <c r="P399" s="629"/>
      <c r="Q399" s="629"/>
      <c r="R399" s="629"/>
      <c r="S399" s="629"/>
      <c r="T399" s="629"/>
      <c r="U399" s="629"/>
      <c r="V399" s="629"/>
      <c r="W399" s="629"/>
      <c r="X399" s="629"/>
      <c r="Y399" s="629"/>
      <c r="Z399" s="629"/>
      <c r="AA399" s="629"/>
      <c r="AB399" s="630"/>
    </row>
    <row r="400" spans="1:39" ht="19.95" customHeight="1">
      <c r="A400" s="853"/>
      <c r="B400" s="1454"/>
      <c r="C400" s="1454"/>
      <c r="D400" s="1454"/>
      <c r="E400" s="1454"/>
      <c r="F400" s="1454"/>
      <c r="G400" s="1454"/>
      <c r="H400" s="1454"/>
      <c r="I400" s="1454"/>
      <c r="J400" s="1454"/>
      <c r="K400" s="1454"/>
      <c r="L400" s="1454"/>
      <c r="M400" s="1454"/>
      <c r="N400" s="862"/>
      <c r="O400" s="629"/>
      <c r="P400" s="629"/>
      <c r="Q400" s="629"/>
      <c r="R400" s="629"/>
      <c r="S400" s="629"/>
      <c r="T400" s="629"/>
      <c r="U400" s="629"/>
      <c r="V400" s="629"/>
      <c r="W400" s="629"/>
      <c r="X400" s="629"/>
      <c r="Y400" s="629"/>
      <c r="Z400" s="629"/>
      <c r="AA400" s="629"/>
      <c r="AB400" s="630"/>
    </row>
    <row r="401" spans="1:28" ht="19.95" customHeight="1">
      <c r="A401" s="853"/>
      <c r="B401" s="1454"/>
      <c r="C401" s="1454"/>
      <c r="D401" s="1454"/>
      <c r="E401" s="1454"/>
      <c r="F401" s="1454"/>
      <c r="G401" s="1454"/>
      <c r="H401" s="1454"/>
      <c r="I401" s="1454"/>
      <c r="J401" s="1454"/>
      <c r="K401" s="1454"/>
      <c r="L401" s="1454"/>
      <c r="M401" s="1454"/>
      <c r="N401" s="862"/>
      <c r="O401" s="629"/>
      <c r="P401" s="629"/>
      <c r="Q401" s="629"/>
      <c r="R401" s="629"/>
      <c r="S401" s="629"/>
      <c r="T401" s="629"/>
      <c r="U401" s="629"/>
      <c r="V401" s="629"/>
      <c r="W401" s="629"/>
      <c r="X401" s="629"/>
      <c r="Y401" s="629"/>
      <c r="Z401" s="629"/>
      <c r="AA401" s="629"/>
      <c r="AB401" s="630"/>
    </row>
    <row r="402" spans="1:28" ht="19.95" customHeight="1">
      <c r="A402" s="853"/>
      <c r="B402" s="1454"/>
      <c r="C402" s="1454"/>
      <c r="D402" s="1454"/>
      <c r="E402" s="1454"/>
      <c r="F402" s="1454"/>
      <c r="G402" s="1454"/>
      <c r="H402" s="1454"/>
      <c r="I402" s="1454"/>
      <c r="J402" s="1454"/>
      <c r="K402" s="1454"/>
      <c r="L402" s="1454"/>
      <c r="M402" s="1454"/>
      <c r="N402" s="862"/>
      <c r="O402" s="629"/>
      <c r="P402" s="629"/>
      <c r="Q402" s="629"/>
      <c r="R402" s="629"/>
      <c r="S402" s="629"/>
      <c r="T402" s="629"/>
      <c r="U402" s="629"/>
      <c r="V402" s="629"/>
      <c r="W402" s="629"/>
      <c r="X402" s="629"/>
      <c r="Y402" s="629"/>
      <c r="Z402" s="629"/>
      <c r="AA402" s="629"/>
      <c r="AB402" s="630"/>
    </row>
    <row r="403" spans="1:28" ht="19.95" customHeight="1">
      <c r="A403" s="853"/>
      <c r="B403" s="1454"/>
      <c r="C403" s="1454"/>
      <c r="D403" s="1454"/>
      <c r="E403" s="1454"/>
      <c r="F403" s="1454"/>
      <c r="G403" s="1454"/>
      <c r="H403" s="1454"/>
      <c r="I403" s="1454"/>
      <c r="J403" s="1454"/>
      <c r="K403" s="1454"/>
      <c r="L403" s="1454"/>
      <c r="M403" s="1454"/>
      <c r="N403" s="862"/>
      <c r="O403" s="629"/>
      <c r="P403" s="629"/>
      <c r="Q403" s="629"/>
      <c r="R403" s="629"/>
      <c r="S403" s="629"/>
      <c r="T403" s="629"/>
      <c r="U403" s="629"/>
      <c r="V403" s="629"/>
      <c r="W403" s="629"/>
      <c r="X403" s="629"/>
      <c r="Y403" s="629"/>
      <c r="Z403" s="629"/>
      <c r="AA403" s="629"/>
      <c r="AB403" s="630"/>
    </row>
    <row r="404" spans="1:28" ht="4.95" customHeight="1">
      <c r="A404" s="853"/>
      <c r="B404" s="629"/>
      <c r="C404" s="629"/>
      <c r="D404" s="629"/>
      <c r="E404" s="629"/>
      <c r="F404" s="629"/>
      <c r="G404" s="629"/>
      <c r="H404" s="629"/>
      <c r="I404" s="629"/>
      <c r="J404" s="629"/>
      <c r="K404" s="629"/>
      <c r="L404" s="629"/>
      <c r="M404" s="629"/>
      <c r="N404" s="862"/>
      <c r="O404" s="629"/>
      <c r="P404" s="629"/>
      <c r="Q404" s="629"/>
      <c r="R404" s="629"/>
      <c r="S404" s="629"/>
      <c r="T404" s="629"/>
      <c r="U404" s="629"/>
      <c r="V404" s="629"/>
      <c r="W404" s="629"/>
      <c r="X404" s="629"/>
      <c r="Y404" s="629"/>
      <c r="Z404" s="629"/>
      <c r="AA404" s="629"/>
      <c r="AB404" s="630"/>
    </row>
    <row r="405" spans="1:28" ht="19.95" customHeight="1">
      <c r="A405" s="853"/>
      <c r="B405" s="632"/>
      <c r="C405" s="629"/>
      <c r="D405" s="629"/>
      <c r="E405" s="629"/>
      <c r="F405" s="629"/>
      <c r="G405" s="629"/>
      <c r="H405" s="629"/>
      <c r="I405" s="629"/>
      <c r="J405" s="629"/>
      <c r="K405" s="629"/>
      <c r="L405" s="629"/>
      <c r="M405" s="629"/>
      <c r="N405" s="862"/>
      <c r="O405" s="629"/>
      <c r="P405" s="629"/>
      <c r="Q405" s="629"/>
      <c r="R405" s="629"/>
      <c r="S405" s="629"/>
      <c r="T405" s="629"/>
      <c r="U405" s="629"/>
      <c r="V405" s="629"/>
      <c r="W405" s="629"/>
      <c r="X405" s="629"/>
      <c r="Y405" s="629"/>
      <c r="Z405" s="629"/>
      <c r="AA405" s="629"/>
      <c r="AB405" s="630"/>
    </row>
    <row r="406" spans="1:28" ht="19.95" customHeight="1">
      <c r="A406" s="853"/>
      <c r="B406" s="631"/>
      <c r="C406" s="631"/>
      <c r="D406" s="631"/>
      <c r="E406" s="631"/>
      <c r="F406" s="631"/>
      <c r="G406" s="631"/>
      <c r="H406" s="631"/>
      <c r="I406" s="631"/>
      <c r="J406" s="631"/>
      <c r="K406" s="631"/>
      <c r="L406" s="631"/>
      <c r="M406" s="631"/>
      <c r="N406" s="862"/>
      <c r="O406" s="629"/>
      <c r="P406" s="629"/>
      <c r="Q406" s="629"/>
      <c r="R406" s="629"/>
      <c r="S406" s="629"/>
      <c r="T406" s="629"/>
      <c r="U406" s="629"/>
      <c r="V406" s="629"/>
      <c r="W406" s="629"/>
      <c r="X406" s="629"/>
      <c r="Y406" s="629"/>
      <c r="Z406" s="629"/>
      <c r="AA406" s="629"/>
      <c r="AB406" s="630"/>
    </row>
    <row r="407" spans="1:28" ht="19.95" customHeight="1">
      <c r="A407" s="853"/>
      <c r="B407" s="631"/>
      <c r="C407" s="631"/>
      <c r="D407" s="631"/>
      <c r="E407" s="631"/>
      <c r="F407" s="631"/>
      <c r="G407" s="631"/>
      <c r="H407" s="631"/>
      <c r="I407" s="631"/>
      <c r="J407" s="631"/>
      <c r="K407" s="631"/>
      <c r="L407" s="631"/>
      <c r="M407" s="631"/>
      <c r="N407" s="862"/>
      <c r="O407" s="629"/>
      <c r="P407" s="629"/>
      <c r="Q407" s="629"/>
      <c r="R407" s="629"/>
      <c r="S407" s="629"/>
      <c r="T407" s="629"/>
      <c r="U407" s="629"/>
      <c r="V407" s="629"/>
      <c r="W407" s="629"/>
      <c r="X407" s="629"/>
      <c r="Y407" s="629"/>
      <c r="Z407" s="629"/>
      <c r="AA407" s="629"/>
      <c r="AB407" s="630"/>
    </row>
    <row r="408" spans="1:28" ht="19.95" customHeight="1">
      <c r="A408" s="853"/>
      <c r="B408" s="631"/>
      <c r="C408" s="631"/>
      <c r="D408" s="631"/>
      <c r="E408" s="631"/>
      <c r="F408" s="631"/>
      <c r="G408" s="631"/>
      <c r="H408" s="631"/>
      <c r="I408" s="631"/>
      <c r="J408" s="631"/>
      <c r="K408" s="631"/>
      <c r="L408" s="631"/>
      <c r="M408" s="631"/>
      <c r="N408" s="862"/>
      <c r="O408" s="629"/>
      <c r="P408" s="629"/>
      <c r="Q408" s="629"/>
      <c r="R408" s="629"/>
      <c r="S408" s="629"/>
      <c r="T408" s="629"/>
      <c r="U408" s="629"/>
      <c r="V408" s="629"/>
      <c r="W408" s="629"/>
      <c r="X408" s="629"/>
      <c r="Y408" s="629"/>
      <c r="Z408" s="629"/>
      <c r="AA408" s="629"/>
      <c r="AB408" s="630"/>
    </row>
    <row r="409" spans="1:28" ht="19.95" customHeight="1">
      <c r="A409" s="853"/>
      <c r="B409" s="631"/>
      <c r="C409" s="631"/>
      <c r="D409" s="631"/>
      <c r="E409" s="631"/>
      <c r="F409" s="631"/>
      <c r="G409" s="631"/>
      <c r="H409" s="631"/>
      <c r="I409" s="631"/>
      <c r="J409" s="631"/>
      <c r="K409" s="631"/>
      <c r="L409" s="631"/>
      <c r="M409" s="631"/>
      <c r="N409" s="862"/>
      <c r="O409" s="629"/>
      <c r="P409" s="629"/>
      <c r="Q409" s="629"/>
      <c r="R409" s="629"/>
      <c r="S409" s="629"/>
      <c r="T409" s="629"/>
      <c r="U409" s="629"/>
      <c r="V409" s="629"/>
      <c r="W409" s="629"/>
      <c r="X409" s="629"/>
      <c r="Y409" s="629"/>
      <c r="Z409" s="629"/>
      <c r="AA409" s="629"/>
      <c r="AB409" s="630"/>
    </row>
    <row r="410" spans="1:28" ht="25.05" customHeight="1">
      <c r="A410" s="853"/>
      <c r="B410" s="631"/>
      <c r="C410" s="631"/>
      <c r="D410" s="631"/>
      <c r="E410" s="631"/>
      <c r="F410" s="631"/>
      <c r="G410" s="631"/>
      <c r="H410" s="631"/>
      <c r="I410" s="631"/>
      <c r="J410" s="631"/>
      <c r="K410" s="631"/>
      <c r="L410" s="631"/>
      <c r="M410" s="631"/>
      <c r="N410" s="862"/>
      <c r="O410" s="629"/>
      <c r="P410" s="629"/>
      <c r="Q410" s="629"/>
      <c r="R410" s="629"/>
      <c r="S410" s="629"/>
      <c r="T410" s="629"/>
      <c r="U410" s="629"/>
      <c r="V410" s="629"/>
      <c r="W410" s="629"/>
      <c r="X410" s="629"/>
      <c r="Y410" s="629"/>
      <c r="Z410" s="629"/>
      <c r="AA410" s="629"/>
      <c r="AB410" s="630"/>
    </row>
    <row r="411" spans="1:28" ht="4.95" customHeight="1">
      <c r="A411" s="853"/>
      <c r="B411" s="634"/>
      <c r="C411" s="634"/>
      <c r="D411" s="634"/>
      <c r="E411" s="634"/>
      <c r="F411" s="634"/>
      <c r="G411" s="634"/>
      <c r="H411" s="634"/>
      <c r="I411" s="634"/>
      <c r="J411" s="634"/>
      <c r="K411" s="634"/>
      <c r="L411" s="634"/>
      <c r="M411" s="634"/>
      <c r="N411" s="862"/>
      <c r="O411" s="629"/>
      <c r="P411" s="629"/>
      <c r="Q411" s="629"/>
      <c r="R411" s="629"/>
      <c r="S411" s="629"/>
      <c r="T411" s="629"/>
      <c r="U411" s="629"/>
      <c r="V411" s="629"/>
      <c r="W411" s="629"/>
      <c r="X411" s="629"/>
      <c r="Y411" s="629"/>
      <c r="Z411" s="629"/>
      <c r="AA411" s="629"/>
      <c r="AB411" s="630"/>
    </row>
    <row r="412" spans="1:28" ht="19.95" customHeight="1">
      <c r="A412" s="853"/>
      <c r="B412" s="679"/>
      <c r="C412" s="680"/>
      <c r="D412" s="1416" t="s">
        <v>1789</v>
      </c>
      <c r="E412" s="1416"/>
      <c r="F412" s="1416"/>
      <c r="G412" s="1417"/>
      <c r="H412" s="1420" t="s">
        <v>1788</v>
      </c>
      <c r="I412" s="1421"/>
      <c r="J412" s="1421"/>
      <c r="K412" s="1421"/>
      <c r="L412" s="683"/>
      <c r="M412" s="684"/>
      <c r="N412" s="862"/>
      <c r="O412" s="629"/>
      <c r="P412" s="629"/>
      <c r="Q412" s="629"/>
      <c r="R412" s="629"/>
      <c r="S412" s="629"/>
      <c r="T412" s="629"/>
      <c r="U412" s="629"/>
      <c r="V412" s="629"/>
      <c r="W412" s="629"/>
      <c r="X412" s="629"/>
      <c r="Y412" s="629"/>
      <c r="Z412" s="629"/>
      <c r="AA412" s="629"/>
      <c r="AB412" s="630"/>
    </row>
    <row r="413" spans="1:28" ht="19.95" customHeight="1">
      <c r="A413" s="853"/>
      <c r="B413" s="679"/>
      <c r="C413" s="680"/>
      <c r="D413" s="1416"/>
      <c r="E413" s="1416"/>
      <c r="F413" s="1416"/>
      <c r="G413" s="1417"/>
      <c r="H413" s="1420"/>
      <c r="I413" s="1421"/>
      <c r="J413" s="1421"/>
      <c r="K413" s="1421"/>
      <c r="L413" s="683"/>
      <c r="M413" s="684"/>
      <c r="N413" s="862"/>
      <c r="O413" s="629"/>
      <c r="P413" s="629"/>
      <c r="Q413" s="629"/>
      <c r="R413" s="629"/>
      <c r="S413" s="629"/>
      <c r="T413" s="629"/>
      <c r="U413" s="629"/>
      <c r="V413" s="629"/>
      <c r="W413" s="629"/>
      <c r="X413" s="629"/>
      <c r="Y413" s="629"/>
      <c r="Z413" s="629"/>
      <c r="AA413" s="629"/>
      <c r="AB413" s="630"/>
    </row>
    <row r="414" spans="1:28" ht="19.95" customHeight="1">
      <c r="A414" s="853"/>
      <c r="B414" s="679"/>
      <c r="C414" s="680"/>
      <c r="D414" s="1416"/>
      <c r="E414" s="1416"/>
      <c r="F414" s="1416"/>
      <c r="G414" s="1417"/>
      <c r="H414" s="1420"/>
      <c r="I414" s="1421"/>
      <c r="J414" s="1421"/>
      <c r="K414" s="1421"/>
      <c r="L414" s="683"/>
      <c r="M414" s="684"/>
      <c r="N414" s="862"/>
      <c r="O414" s="629"/>
      <c r="P414" s="629"/>
      <c r="Q414" s="629"/>
      <c r="R414" s="629"/>
      <c r="S414" s="629"/>
      <c r="T414" s="629"/>
      <c r="U414" s="629"/>
      <c r="V414" s="629"/>
      <c r="W414" s="629"/>
      <c r="X414" s="629"/>
      <c r="Y414" s="629"/>
      <c r="Z414" s="629"/>
      <c r="AA414" s="629"/>
      <c r="AB414" s="630"/>
    </row>
    <row r="415" spans="1:28" ht="19.95" customHeight="1">
      <c r="A415" s="853"/>
      <c r="B415" s="679"/>
      <c r="C415" s="680"/>
      <c r="D415" s="1416"/>
      <c r="E415" s="1416"/>
      <c r="F415" s="1416"/>
      <c r="G415" s="1417"/>
      <c r="H415" s="1420"/>
      <c r="I415" s="1421"/>
      <c r="J415" s="1421"/>
      <c r="K415" s="1421"/>
      <c r="L415" s="683"/>
      <c r="M415" s="684"/>
      <c r="N415" s="862"/>
      <c r="O415" s="629"/>
      <c r="P415" s="629"/>
      <c r="Q415" s="629"/>
      <c r="R415" s="629"/>
      <c r="S415" s="629"/>
      <c r="T415" s="629"/>
      <c r="U415" s="629"/>
      <c r="V415" s="629"/>
      <c r="W415" s="629"/>
      <c r="X415" s="629"/>
      <c r="Y415" s="629"/>
      <c r="Z415" s="629"/>
      <c r="AA415" s="629"/>
      <c r="AB415" s="630"/>
    </row>
    <row r="416" spans="1:28" ht="19.95" customHeight="1" thickBot="1">
      <c r="A416" s="853"/>
      <c r="B416" s="681"/>
      <c r="C416" s="682"/>
      <c r="D416" s="1418"/>
      <c r="E416" s="1418"/>
      <c r="F416" s="1418"/>
      <c r="G416" s="1419"/>
      <c r="H416" s="1422"/>
      <c r="I416" s="1423"/>
      <c r="J416" s="1423"/>
      <c r="K416" s="1423"/>
      <c r="L416" s="685"/>
      <c r="M416" s="686"/>
      <c r="N416" s="862"/>
      <c r="O416" s="629"/>
      <c r="P416" s="629"/>
      <c r="Q416" s="629"/>
      <c r="R416" s="629"/>
      <c r="S416" s="629"/>
      <c r="T416" s="629"/>
      <c r="U416" s="629"/>
      <c r="V416" s="629"/>
      <c r="W416" s="629"/>
      <c r="X416" s="629"/>
      <c r="Y416" s="629"/>
      <c r="Z416" s="629"/>
      <c r="AA416" s="629"/>
      <c r="AB416" s="630"/>
    </row>
    <row r="417" spans="1:43" ht="4.8" customHeight="1">
      <c r="A417" s="853"/>
      <c r="B417" s="633"/>
      <c r="C417" s="633"/>
      <c r="D417" s="641"/>
      <c r="E417" s="641"/>
      <c r="F417" s="641"/>
      <c r="G417" s="641"/>
      <c r="H417" s="642"/>
      <c r="I417" s="642"/>
      <c r="J417" s="642"/>
      <c r="K417" s="642"/>
      <c r="L417" s="633"/>
      <c r="M417" s="633"/>
      <c r="N417" s="862"/>
      <c r="O417" s="629"/>
      <c r="P417" s="629"/>
      <c r="Q417" s="629"/>
      <c r="R417" s="629"/>
      <c r="S417" s="629"/>
      <c r="T417" s="629"/>
      <c r="U417" s="629"/>
      <c r="V417" s="629"/>
      <c r="W417" s="629"/>
      <c r="X417" s="629"/>
      <c r="Y417" s="629"/>
      <c r="Z417" s="629"/>
      <c r="AA417" s="629"/>
      <c r="AB417" s="630"/>
    </row>
    <row r="418" spans="1:43" ht="19.05" customHeight="1">
      <c r="A418" s="853"/>
      <c r="B418" s="1428" t="s">
        <v>2471</v>
      </c>
      <c r="C418" s="1428"/>
      <c r="D418" s="1428"/>
      <c r="E418" s="1428"/>
      <c r="F418" s="1428"/>
      <c r="G418" s="1428"/>
      <c r="H418" s="1428"/>
      <c r="I418" s="1428"/>
      <c r="J418" s="1428"/>
      <c r="K418" s="1428"/>
      <c r="L418" s="1428"/>
      <c r="M418" s="1428"/>
      <c r="N418" s="862"/>
      <c r="O418" s="629"/>
      <c r="P418" s="629"/>
      <c r="Q418" s="629"/>
      <c r="R418" s="629"/>
      <c r="S418" s="629"/>
      <c r="T418" s="629"/>
      <c r="U418" s="629"/>
      <c r="V418" s="629"/>
      <c r="W418" s="629"/>
      <c r="X418" s="629"/>
      <c r="Y418" s="629"/>
      <c r="Z418" s="629"/>
      <c r="AA418" s="629"/>
      <c r="AB418" s="630"/>
    </row>
    <row r="419" spans="1:43" ht="19.05" customHeight="1">
      <c r="A419" s="853"/>
      <c r="B419" s="1428"/>
      <c r="C419" s="1428"/>
      <c r="D419" s="1428"/>
      <c r="E419" s="1428"/>
      <c r="F419" s="1428"/>
      <c r="G419" s="1428"/>
      <c r="H419" s="1428"/>
      <c r="I419" s="1428"/>
      <c r="J419" s="1428"/>
      <c r="K419" s="1428"/>
      <c r="L419" s="1428"/>
      <c r="M419" s="1428"/>
      <c r="N419" s="862"/>
      <c r="O419" s="629"/>
      <c r="P419" s="629"/>
      <c r="Q419" s="629"/>
      <c r="R419" s="629"/>
      <c r="S419" s="629"/>
      <c r="T419" s="629"/>
      <c r="U419" s="629"/>
      <c r="V419" s="629"/>
      <c r="W419" s="629"/>
      <c r="X419" s="629"/>
      <c r="Y419" s="629"/>
      <c r="Z419" s="629"/>
      <c r="AA419" s="629"/>
      <c r="AB419" s="630"/>
    </row>
    <row r="420" spans="1:43" ht="19.05" customHeight="1">
      <c r="A420" s="853"/>
      <c r="B420" s="1428"/>
      <c r="C420" s="1428"/>
      <c r="D420" s="1428"/>
      <c r="E420" s="1428"/>
      <c r="F420" s="1428"/>
      <c r="G420" s="1428"/>
      <c r="H420" s="1428"/>
      <c r="I420" s="1428"/>
      <c r="J420" s="1428"/>
      <c r="K420" s="1428"/>
      <c r="L420" s="1428"/>
      <c r="M420" s="1428"/>
      <c r="N420" s="862"/>
      <c r="O420" s="629"/>
      <c r="P420" s="629"/>
      <c r="Q420" s="629"/>
      <c r="R420" s="629"/>
      <c r="S420" s="629"/>
      <c r="T420" s="629"/>
      <c r="U420" s="629"/>
      <c r="V420" s="629"/>
      <c r="W420" s="629"/>
      <c r="X420" s="629"/>
      <c r="Y420" s="629"/>
      <c r="Z420" s="629"/>
      <c r="AA420" s="629"/>
      <c r="AB420" s="630"/>
    </row>
    <row r="421" spans="1:43" ht="4.95" customHeight="1">
      <c r="A421" s="857"/>
      <c r="B421" s="629"/>
      <c r="C421" s="629"/>
      <c r="D421" s="629"/>
      <c r="E421" s="629"/>
      <c r="F421" s="629"/>
      <c r="G421" s="629"/>
      <c r="H421" s="629"/>
      <c r="I421" s="629"/>
      <c r="J421" s="629"/>
      <c r="K421" s="629"/>
      <c r="L421" s="629"/>
      <c r="M421" s="629"/>
      <c r="N421" s="867"/>
      <c r="O421" s="629"/>
      <c r="P421" s="629"/>
      <c r="Q421" s="629"/>
      <c r="R421" s="629"/>
      <c r="S421" s="629"/>
      <c r="T421" s="629"/>
      <c r="U421" s="629"/>
      <c r="V421" s="629"/>
      <c r="W421" s="629"/>
      <c r="X421" s="629"/>
      <c r="Y421" s="629"/>
      <c r="Z421" s="629"/>
      <c r="AA421" s="629"/>
      <c r="AB421" s="630"/>
    </row>
    <row r="422" spans="1:43" ht="30" customHeight="1">
      <c r="A422" s="648" t="s">
        <v>1148</v>
      </c>
      <c r="B422" s="885" t="s">
        <v>3156</v>
      </c>
      <c r="C422" s="885"/>
      <c r="D422" s="885"/>
      <c r="E422" s="885"/>
      <c r="F422" s="885"/>
      <c r="G422" s="885"/>
      <c r="H422" s="885"/>
      <c r="I422" s="885"/>
      <c r="J422" s="885"/>
      <c r="K422" s="885"/>
      <c r="L422" s="885"/>
      <c r="M422" s="885"/>
      <c r="N422" s="649" t="s">
        <v>1149</v>
      </c>
      <c r="O422" s="648"/>
      <c r="P422" s="885"/>
      <c r="Q422" s="885"/>
      <c r="R422" s="885"/>
      <c r="S422" s="885"/>
      <c r="T422" s="885"/>
      <c r="U422" s="885"/>
      <c r="V422" s="885"/>
      <c r="W422" s="885"/>
      <c r="X422" s="885"/>
      <c r="Y422" s="885"/>
      <c r="Z422" s="885"/>
      <c r="AA422" s="885"/>
      <c r="AB422" s="649" t="s">
        <v>1149</v>
      </c>
    </row>
    <row r="423" spans="1:43" ht="10.050000000000001" customHeight="1">
      <c r="A423" s="199"/>
      <c r="B423" s="24"/>
      <c r="C423" s="24"/>
      <c r="D423" s="24"/>
      <c r="E423" s="24"/>
      <c r="F423" s="24"/>
      <c r="G423" s="24"/>
      <c r="H423" s="24"/>
      <c r="I423" s="24"/>
      <c r="J423" s="24"/>
      <c r="K423" s="24"/>
      <c r="L423" s="24"/>
      <c r="M423" s="24"/>
      <c r="N423" s="200"/>
      <c r="O423" s="199"/>
      <c r="P423" s="24"/>
      <c r="Q423" s="24"/>
      <c r="R423" s="24"/>
      <c r="S423" s="24"/>
      <c r="T423" s="24"/>
      <c r="U423" s="24"/>
      <c r="V423" s="24"/>
      <c r="W423" s="24"/>
      <c r="X423" s="24"/>
      <c r="Y423" s="24"/>
      <c r="Z423" s="24"/>
      <c r="AA423" s="24"/>
      <c r="AB423" s="200"/>
    </row>
    <row r="424" spans="1:43" ht="19.95" customHeight="1">
      <c r="A424" s="689" t="str">
        <f>AI424</f>
        <v>Now do something about it</v>
      </c>
      <c r="B424" s="588"/>
      <c r="C424" s="397"/>
      <c r="D424" s="397"/>
      <c r="E424" s="397"/>
      <c r="F424" s="397"/>
      <c r="G424" s="397"/>
      <c r="H424" s="397"/>
      <c r="I424" s="397"/>
      <c r="J424" s="397"/>
      <c r="K424" s="397"/>
      <c r="L424" s="397"/>
      <c r="M424" s="397"/>
      <c r="N424" s="200"/>
      <c r="O424" s="199"/>
      <c r="P424" s="588" t="s">
        <v>2061</v>
      </c>
      <c r="Q424" s="24"/>
      <c r="R424" s="24"/>
      <c r="S424" s="24"/>
      <c r="T424" s="24"/>
      <c r="U424" s="24"/>
      <c r="V424" s="24"/>
      <c r="W424" s="24"/>
      <c r="X424" s="24"/>
      <c r="Y424" s="24"/>
      <c r="Z424" s="24"/>
      <c r="AA424" s="24"/>
      <c r="AB424" s="200"/>
      <c r="AI424" s="2" t="str">
        <f>IF(H115="",AK424,AI426)</f>
        <v>Now do something about it</v>
      </c>
      <c r="AK424" s="2" t="s">
        <v>2547</v>
      </c>
    </row>
    <row r="425" spans="1:43" ht="4.95" customHeight="1">
      <c r="A425" s="199"/>
      <c r="B425" s="397"/>
      <c r="C425" s="397"/>
      <c r="D425" s="397"/>
      <c r="E425" s="397"/>
      <c r="F425" s="397"/>
      <c r="G425" s="397"/>
      <c r="H425" s="397"/>
      <c r="I425" s="397"/>
      <c r="J425" s="397"/>
      <c r="K425" s="397"/>
      <c r="L425" s="397"/>
      <c r="M425" s="397"/>
      <c r="N425" s="200"/>
      <c r="O425" s="199"/>
      <c r="P425" s="24"/>
      <c r="Q425" s="24"/>
      <c r="R425" s="24"/>
      <c r="S425" s="24"/>
      <c r="T425" s="24"/>
      <c r="U425" s="24"/>
      <c r="V425" s="24"/>
      <c r="W425" s="24"/>
      <c r="X425" s="24"/>
      <c r="Y425" s="24"/>
      <c r="Z425" s="24"/>
      <c r="AA425" s="24"/>
      <c r="AB425" s="200"/>
    </row>
    <row r="426" spans="1:43" ht="21" customHeight="1">
      <c r="A426" s="199"/>
      <c r="B426" s="690" t="s">
        <v>2550</v>
      </c>
      <c r="C426" s="601"/>
      <c r="D426" s="601"/>
      <c r="E426" s="601"/>
      <c r="F426" s="601"/>
      <c r="G426" s="601"/>
      <c r="H426" s="601"/>
      <c r="I426" s="601"/>
      <c r="J426" s="601"/>
      <c r="K426" s="601"/>
      <c r="L426" s="601"/>
      <c r="M426" s="601"/>
      <c r="N426" s="200"/>
      <c r="O426" s="199"/>
      <c r="P426" s="24"/>
      <c r="Q426" s="24"/>
      <c r="R426" s="24"/>
      <c r="S426" s="24"/>
      <c r="T426" s="24"/>
      <c r="U426" s="24"/>
      <c r="V426" s="24"/>
      <c r="W426" s="24"/>
      <c r="X426" s="24"/>
      <c r="Y426" s="24"/>
      <c r="Z426" s="24"/>
      <c r="AA426" s="24"/>
      <c r="AB426" s="200"/>
      <c r="AI426" s="459" t="str">
        <f>CONCATENATE(AK426,AL426,AM426,AN426,AO426,AP426,AQ426)</f>
        <v>Now do something about your  needs</v>
      </c>
      <c r="AK426" s="465" t="s">
        <v>2548</v>
      </c>
      <c r="AL426" s="2" t="str">
        <f>D1300</f>
        <v/>
      </c>
      <c r="AM426" s="466" t="s">
        <v>2466</v>
      </c>
      <c r="AO426" s="465"/>
      <c r="AQ426" s="465"/>
    </row>
    <row r="427" spans="1:43" ht="21" customHeight="1">
      <c r="A427" s="199"/>
      <c r="B427" s="601"/>
      <c r="C427" s="601"/>
      <c r="D427" s="601"/>
      <c r="E427" s="601"/>
      <c r="F427" s="601"/>
      <c r="G427" s="601"/>
      <c r="H427" s="601"/>
      <c r="I427" s="601"/>
      <c r="J427" s="601"/>
      <c r="K427" s="601"/>
      <c r="L427" s="601"/>
      <c r="M427" s="601"/>
      <c r="N427" s="200"/>
      <c r="O427" s="199"/>
      <c r="P427" s="24"/>
      <c r="Q427" s="24"/>
      <c r="R427" s="24"/>
      <c r="S427" s="24"/>
      <c r="T427" s="24"/>
      <c r="U427" s="24"/>
      <c r="V427" s="24"/>
      <c r="W427" s="24"/>
      <c r="X427" s="24"/>
      <c r="Y427" s="24"/>
      <c r="Z427" s="24"/>
      <c r="AA427" s="24"/>
      <c r="AB427" s="200"/>
    </row>
    <row r="428" spans="1:43" ht="21" customHeight="1">
      <c r="A428" s="199"/>
      <c r="B428" s="601"/>
      <c r="C428" s="601"/>
      <c r="D428" s="601"/>
      <c r="E428" s="601"/>
      <c r="F428" s="601"/>
      <c r="G428" s="601"/>
      <c r="H428" s="601"/>
      <c r="I428" s="601"/>
      <c r="J428" s="601"/>
      <c r="K428" s="601"/>
      <c r="L428" s="601"/>
      <c r="M428" s="601"/>
      <c r="N428" s="200"/>
      <c r="O428" s="199"/>
      <c r="P428" s="24"/>
      <c r="Q428" s="24"/>
      <c r="R428" s="24"/>
      <c r="S428" s="24"/>
      <c r="T428" s="24"/>
      <c r="U428" s="24"/>
      <c r="V428" s="24"/>
      <c r="W428" s="24"/>
      <c r="X428" s="24"/>
      <c r="Y428" s="24"/>
      <c r="Z428" s="24"/>
      <c r="AA428" s="24"/>
      <c r="AB428" s="200"/>
    </row>
    <row r="429" spans="1:43" ht="4.95" customHeight="1">
      <c r="A429" s="199"/>
      <c r="B429" s="601"/>
      <c r="C429" s="601"/>
      <c r="D429" s="601"/>
      <c r="E429" s="601"/>
      <c r="F429" s="601"/>
      <c r="G429" s="601"/>
      <c r="H429" s="601"/>
      <c r="I429" s="601"/>
      <c r="J429" s="601"/>
      <c r="K429" s="601"/>
      <c r="L429" s="601"/>
      <c r="M429" s="601"/>
      <c r="N429" s="200"/>
      <c r="O429" s="199"/>
      <c r="P429" s="24"/>
      <c r="Q429" s="24"/>
      <c r="R429" s="24"/>
      <c r="S429" s="24"/>
      <c r="T429" s="24"/>
      <c r="U429" s="24"/>
      <c r="V429" s="24"/>
      <c r="W429" s="24"/>
      <c r="X429" s="24"/>
      <c r="Y429" s="24"/>
      <c r="Z429" s="24"/>
      <c r="AA429" s="24"/>
      <c r="AB429" s="200"/>
    </row>
    <row r="430" spans="1:43" ht="19.95" customHeight="1">
      <c r="A430" s="199"/>
      <c r="B430" s="601"/>
      <c r="C430" s="601"/>
      <c r="D430" s="601"/>
      <c r="E430" s="601"/>
      <c r="F430" s="601"/>
      <c r="G430" s="601"/>
      <c r="H430" s="601"/>
      <c r="I430" s="601"/>
      <c r="J430" s="601"/>
      <c r="K430" s="601"/>
      <c r="L430" s="601"/>
      <c r="M430" s="601"/>
      <c r="N430" s="200"/>
      <c r="O430" s="199"/>
      <c r="P430" s="24"/>
      <c r="Q430" s="24"/>
      <c r="R430" s="24"/>
      <c r="S430" s="24"/>
      <c r="T430" s="24"/>
      <c r="U430" s="24"/>
      <c r="V430" s="24"/>
      <c r="W430" s="24"/>
      <c r="X430" s="24"/>
      <c r="Y430" s="24"/>
      <c r="Z430" s="24"/>
      <c r="AA430" s="24"/>
      <c r="AB430" s="200"/>
    </row>
    <row r="431" spans="1:43" ht="19.95" customHeight="1">
      <c r="A431" s="199"/>
      <c r="B431" s="601"/>
      <c r="C431" s="601"/>
      <c r="D431" s="601"/>
      <c r="E431" s="601"/>
      <c r="F431" s="601"/>
      <c r="G431" s="601"/>
      <c r="H431" s="601"/>
      <c r="I431" s="601"/>
      <c r="J431" s="601"/>
      <c r="K431" s="601"/>
      <c r="L431" s="601"/>
      <c r="M431" s="601"/>
      <c r="N431" s="200"/>
      <c r="O431" s="199"/>
      <c r="P431" s="24"/>
      <c r="Q431" s="24"/>
      <c r="R431" s="24"/>
      <c r="S431" s="24"/>
      <c r="T431" s="24"/>
      <c r="U431" s="24"/>
      <c r="V431" s="24"/>
      <c r="W431" s="24"/>
      <c r="X431" s="24"/>
      <c r="Y431" s="24"/>
      <c r="Z431" s="24"/>
      <c r="AA431" s="24"/>
      <c r="AB431" s="200"/>
    </row>
    <row r="432" spans="1:43" ht="19.95" customHeight="1">
      <c r="A432" s="199"/>
      <c r="B432" s="601"/>
      <c r="C432" s="601"/>
      <c r="D432" s="601"/>
      <c r="E432" s="601"/>
      <c r="F432" s="601"/>
      <c r="G432" s="601"/>
      <c r="H432" s="601"/>
      <c r="I432" s="601"/>
      <c r="J432" s="601"/>
      <c r="K432" s="601"/>
      <c r="L432" s="601"/>
      <c r="M432" s="601"/>
      <c r="N432" s="200"/>
      <c r="O432" s="199"/>
      <c r="P432" s="24"/>
      <c r="Q432" s="24"/>
      <c r="R432" s="24"/>
      <c r="S432" s="24"/>
      <c r="T432" s="24"/>
      <c r="U432" s="24"/>
      <c r="V432" s="24"/>
      <c r="W432" s="24"/>
      <c r="X432" s="24"/>
      <c r="Y432" s="24"/>
      <c r="Z432" s="24"/>
      <c r="AA432" s="24"/>
      <c r="AB432" s="200"/>
    </row>
    <row r="433" spans="1:82" ht="4.95" customHeight="1">
      <c r="A433" s="199"/>
      <c r="B433" s="601"/>
      <c r="C433" s="601"/>
      <c r="D433" s="601"/>
      <c r="E433" s="601"/>
      <c r="F433" s="601"/>
      <c r="G433" s="601"/>
      <c r="H433" s="601"/>
      <c r="I433" s="601"/>
      <c r="J433" s="601"/>
      <c r="K433" s="601"/>
      <c r="L433" s="601"/>
      <c r="M433" s="601"/>
      <c r="N433" s="200"/>
      <c r="O433" s="199"/>
      <c r="P433" s="24"/>
      <c r="Q433" s="24"/>
      <c r="R433" s="24"/>
      <c r="S433" s="24"/>
      <c r="T433" s="24"/>
      <c r="U433" s="24"/>
      <c r="V433" s="24"/>
      <c r="W433" s="24"/>
      <c r="X433" s="24"/>
      <c r="Y433" s="24"/>
      <c r="Z433" s="24"/>
      <c r="AA433" s="24"/>
      <c r="AB433" s="200"/>
    </row>
    <row r="434" spans="1:82" ht="21" customHeight="1">
      <c r="A434" s="199"/>
      <c r="B434" s="601"/>
      <c r="C434" s="601"/>
      <c r="D434" s="601"/>
      <c r="E434" s="601"/>
      <c r="F434" s="601"/>
      <c r="G434" s="601"/>
      <c r="H434" s="601"/>
      <c r="I434" s="601"/>
      <c r="J434" s="601"/>
      <c r="K434" s="601"/>
      <c r="L434" s="601"/>
      <c r="M434" s="601"/>
      <c r="N434" s="200"/>
      <c r="O434" s="199"/>
      <c r="P434" s="24"/>
      <c r="Q434" s="24"/>
      <c r="R434" s="24"/>
      <c r="S434" s="24"/>
      <c r="T434" s="24"/>
      <c r="U434" s="24"/>
      <c r="V434" s="24"/>
      <c r="W434" s="24"/>
      <c r="X434" s="24"/>
      <c r="Y434" s="24"/>
      <c r="Z434" s="24"/>
      <c r="AA434" s="24"/>
      <c r="AB434" s="200"/>
      <c r="AI434" s="459" t="str">
        <f>CONCATENATE(AK434,AL434,AM434,AN434,AO434,AP434,AQ434,AR434)</f>
        <v/>
      </c>
      <c r="AK434" s="465"/>
      <c r="AM434" s="465"/>
      <c r="AO434" s="465"/>
      <c r="AQ434" s="466"/>
    </row>
    <row r="435" spans="1:82" ht="21" customHeight="1">
      <c r="A435" s="199"/>
      <c r="B435" s="601"/>
      <c r="C435" s="601"/>
      <c r="D435" s="601"/>
      <c r="E435" s="601"/>
      <c r="F435" s="601"/>
      <c r="G435" s="601"/>
      <c r="H435" s="601"/>
      <c r="I435" s="601"/>
      <c r="J435" s="601"/>
      <c r="K435" s="601"/>
      <c r="L435" s="601"/>
      <c r="M435" s="601"/>
      <c r="N435" s="200"/>
      <c r="O435" s="199"/>
      <c r="P435" s="24"/>
      <c r="Q435" s="24"/>
      <c r="R435" s="24"/>
      <c r="S435" s="24"/>
      <c r="T435" s="24"/>
      <c r="U435" s="24"/>
      <c r="V435" s="24"/>
      <c r="W435" s="24"/>
      <c r="X435" s="24"/>
      <c r="Y435" s="24"/>
      <c r="Z435" s="24"/>
      <c r="AA435" s="24"/>
      <c r="AB435" s="200"/>
    </row>
    <row r="436" spans="1:82" ht="21" customHeight="1">
      <c r="A436" s="199"/>
      <c r="B436" s="601"/>
      <c r="C436" s="601"/>
      <c r="D436" s="601"/>
      <c r="E436" s="601"/>
      <c r="F436" s="601"/>
      <c r="G436" s="601"/>
      <c r="H436" s="601"/>
      <c r="I436" s="601"/>
      <c r="J436" s="601"/>
      <c r="K436" s="601"/>
      <c r="L436" s="601"/>
      <c r="M436" s="601"/>
      <c r="N436" s="200"/>
      <c r="O436" s="199"/>
      <c r="P436" s="24"/>
      <c r="Q436" s="24"/>
      <c r="R436" s="24"/>
      <c r="S436" s="24"/>
      <c r="T436" s="24"/>
      <c r="U436" s="24"/>
      <c r="V436" s="24"/>
      <c r="W436" s="24"/>
      <c r="X436" s="24"/>
      <c r="Y436" s="24"/>
      <c r="Z436" s="24"/>
      <c r="AA436" s="24"/>
      <c r="AB436" s="200"/>
    </row>
    <row r="437" spans="1:82" ht="21" customHeight="1">
      <c r="A437" s="199"/>
      <c r="B437" s="601"/>
      <c r="C437" s="601"/>
      <c r="D437" s="601"/>
      <c r="E437" s="601"/>
      <c r="F437" s="601"/>
      <c r="G437" s="601"/>
      <c r="H437" s="601"/>
      <c r="I437" s="601"/>
      <c r="J437" s="601"/>
      <c r="K437" s="601"/>
      <c r="L437" s="601"/>
      <c r="M437" s="601"/>
      <c r="N437" s="200"/>
      <c r="O437" s="199"/>
      <c r="P437" s="24"/>
      <c r="Q437" s="24"/>
      <c r="R437" s="24"/>
      <c r="S437" s="24"/>
      <c r="T437" s="24"/>
      <c r="U437" s="24"/>
      <c r="V437" s="24"/>
      <c r="W437" s="24"/>
      <c r="X437" s="24"/>
      <c r="Y437" s="24"/>
      <c r="Z437" s="24"/>
      <c r="AA437" s="24"/>
      <c r="AB437" s="200"/>
    </row>
    <row r="438" spans="1:82" ht="21" customHeight="1">
      <c r="A438" s="199"/>
      <c r="B438" s="601"/>
      <c r="C438" s="601"/>
      <c r="D438" s="601"/>
      <c r="E438" s="601"/>
      <c r="F438" s="601"/>
      <c r="G438" s="601"/>
      <c r="H438" s="601"/>
      <c r="I438" s="601"/>
      <c r="J438" s="601"/>
      <c r="K438" s="601"/>
      <c r="L438" s="601"/>
      <c r="M438" s="601"/>
      <c r="N438" s="200"/>
      <c r="O438" s="199"/>
      <c r="P438" s="24"/>
      <c r="Q438" s="24"/>
      <c r="R438" s="24"/>
      <c r="S438" s="24"/>
      <c r="T438" s="24"/>
      <c r="U438" s="24"/>
      <c r="V438" s="24"/>
      <c r="W438" s="24"/>
      <c r="X438" s="24"/>
      <c r="Y438" s="24"/>
      <c r="Z438" s="24"/>
      <c r="AA438" s="24"/>
      <c r="AB438" s="200"/>
    </row>
    <row r="439" spans="1:82" ht="4.95" customHeight="1">
      <c r="A439" s="199"/>
      <c r="B439" s="601"/>
      <c r="C439" s="601"/>
      <c r="D439" s="601"/>
      <c r="E439" s="601"/>
      <c r="F439" s="601"/>
      <c r="G439" s="601"/>
      <c r="H439" s="601"/>
      <c r="I439" s="601"/>
      <c r="J439" s="601"/>
      <c r="K439" s="601"/>
      <c r="L439" s="601"/>
      <c r="M439" s="601"/>
      <c r="N439" s="200"/>
      <c r="O439" s="199"/>
      <c r="P439" s="24"/>
      <c r="Q439" s="24"/>
      <c r="R439" s="24"/>
      <c r="S439" s="24"/>
      <c r="T439" s="24"/>
      <c r="U439" s="24"/>
      <c r="V439" s="24"/>
      <c r="W439" s="24"/>
      <c r="X439" s="24"/>
      <c r="Y439" s="24"/>
      <c r="Z439" s="24"/>
      <c r="AA439" s="24"/>
      <c r="AB439" s="200"/>
    </row>
    <row r="440" spans="1:82" ht="19.05" customHeight="1">
      <c r="A440" s="199"/>
      <c r="B440" s="601"/>
      <c r="C440" s="601"/>
      <c r="D440" s="601"/>
      <c r="E440" s="601"/>
      <c r="F440" s="601"/>
      <c r="G440" s="601"/>
      <c r="H440" s="601"/>
      <c r="I440" s="601"/>
      <c r="J440" s="601"/>
      <c r="K440" s="601"/>
      <c r="L440" s="601"/>
      <c r="M440" s="601"/>
      <c r="N440" s="200"/>
      <c r="O440" s="199"/>
      <c r="P440" s="24"/>
      <c r="Q440" s="24"/>
      <c r="R440" s="24"/>
      <c r="S440" s="24"/>
      <c r="T440" s="24"/>
      <c r="U440" s="24"/>
      <c r="V440" s="24"/>
      <c r="W440" s="24"/>
      <c r="X440" s="24"/>
      <c r="Y440" s="24"/>
      <c r="Z440" s="24"/>
      <c r="AA440" s="24"/>
      <c r="AB440" s="200"/>
    </row>
    <row r="441" spans="1:82" ht="19.05" customHeight="1">
      <c r="A441" s="199"/>
      <c r="B441" s="601"/>
      <c r="C441" s="601"/>
      <c r="D441" s="601"/>
      <c r="E441" s="601"/>
      <c r="F441" s="601"/>
      <c r="G441" s="601"/>
      <c r="H441" s="601"/>
      <c r="I441" s="601"/>
      <c r="J441" s="601"/>
      <c r="K441" s="601"/>
      <c r="L441" s="601"/>
      <c r="M441" s="601"/>
      <c r="N441" s="200"/>
      <c r="O441" s="199"/>
      <c r="P441" s="24"/>
      <c r="Q441" s="24"/>
      <c r="R441" s="24"/>
      <c r="S441" s="24"/>
      <c r="T441" s="24"/>
      <c r="U441" s="24"/>
      <c r="V441" s="24"/>
      <c r="W441" s="24"/>
      <c r="X441" s="24"/>
      <c r="Y441" s="24"/>
      <c r="Z441" s="24"/>
      <c r="AA441" s="24"/>
      <c r="AB441" s="200"/>
    </row>
    <row r="442" spans="1:82" ht="19.05" customHeight="1">
      <c r="A442" s="199"/>
      <c r="B442" s="601"/>
      <c r="C442" s="601"/>
      <c r="D442" s="601"/>
      <c r="E442" s="601"/>
      <c r="F442" s="601"/>
      <c r="G442" s="601"/>
      <c r="H442" s="601"/>
      <c r="I442" s="601"/>
      <c r="J442" s="601"/>
      <c r="K442" s="601"/>
      <c r="L442" s="601"/>
      <c r="M442" s="601"/>
      <c r="N442" s="200"/>
      <c r="O442" s="199"/>
      <c r="P442" s="24"/>
      <c r="Q442" s="24"/>
      <c r="R442" s="24"/>
      <c r="S442" s="24"/>
      <c r="T442" s="24"/>
      <c r="U442" s="24"/>
      <c r="V442" s="24"/>
      <c r="W442" s="24"/>
      <c r="X442" s="24"/>
      <c r="Y442" s="24"/>
      <c r="Z442" s="24"/>
      <c r="AA442" s="24"/>
      <c r="AB442" s="200"/>
    </row>
    <row r="443" spans="1:82" ht="19.05" customHeight="1">
      <c r="A443" s="199"/>
      <c r="B443" s="601"/>
      <c r="C443" s="601"/>
      <c r="D443" s="601"/>
      <c r="E443" s="601"/>
      <c r="F443" s="601"/>
      <c r="G443" s="601"/>
      <c r="H443" s="601"/>
      <c r="I443" s="601"/>
      <c r="J443" s="601"/>
      <c r="K443" s="601"/>
      <c r="L443" s="601"/>
      <c r="M443" s="601"/>
      <c r="N443" s="200"/>
      <c r="O443" s="199"/>
      <c r="P443" s="24"/>
      <c r="Q443" s="24"/>
      <c r="R443" s="24"/>
      <c r="S443" s="24"/>
      <c r="T443" s="24"/>
      <c r="U443" s="24"/>
      <c r="V443" s="24"/>
      <c r="W443" s="24"/>
      <c r="X443" s="24"/>
      <c r="Y443" s="24"/>
      <c r="Z443" s="24"/>
      <c r="AA443" s="24"/>
      <c r="AB443" s="200"/>
    </row>
    <row r="444" spans="1:82" ht="19.05" customHeight="1">
      <c r="A444" s="199"/>
      <c r="B444" s="601"/>
      <c r="C444" s="601"/>
      <c r="D444" s="601"/>
      <c r="E444" s="601"/>
      <c r="F444" s="601"/>
      <c r="G444" s="601"/>
      <c r="H444" s="601"/>
      <c r="I444" s="601"/>
      <c r="J444" s="601"/>
      <c r="K444" s="601"/>
      <c r="L444" s="601"/>
      <c r="M444" s="601"/>
      <c r="N444" s="200"/>
      <c r="O444" s="199"/>
      <c r="P444" s="24"/>
      <c r="Q444" s="24"/>
      <c r="R444" s="24"/>
      <c r="S444" s="24"/>
      <c r="T444" s="24"/>
      <c r="U444" s="24"/>
      <c r="V444" s="24"/>
      <c r="W444" s="24"/>
      <c r="X444" s="24"/>
      <c r="Y444" s="24"/>
      <c r="Z444" s="24"/>
      <c r="AA444" s="24"/>
      <c r="AB444" s="200"/>
    </row>
    <row r="445" spans="1:82" ht="4.95" customHeight="1">
      <c r="A445" s="199"/>
      <c r="B445" s="601"/>
      <c r="C445" s="601"/>
      <c r="D445" s="601"/>
      <c r="E445" s="601"/>
      <c r="F445" s="601"/>
      <c r="G445" s="601"/>
      <c r="H445" s="601"/>
      <c r="I445" s="601"/>
      <c r="J445" s="601"/>
      <c r="K445" s="601"/>
      <c r="L445" s="601"/>
      <c r="M445" s="601"/>
      <c r="N445" s="200"/>
      <c r="O445" s="199"/>
      <c r="P445" s="24"/>
      <c r="Q445" s="24"/>
      <c r="R445" s="24"/>
      <c r="S445" s="24"/>
      <c r="T445" s="24"/>
      <c r="U445" s="24"/>
      <c r="V445" s="24"/>
      <c r="W445" s="24"/>
      <c r="X445" s="24"/>
      <c r="Y445" s="24"/>
      <c r="Z445" s="24"/>
      <c r="AA445" s="24"/>
      <c r="AB445" s="200"/>
      <c r="CD445" s="37"/>
    </row>
    <row r="446" spans="1:82" ht="19.95" customHeight="1">
      <c r="A446" s="199"/>
      <c r="B446" s="601"/>
      <c r="C446" s="601"/>
      <c r="D446" s="601"/>
      <c r="E446" s="601"/>
      <c r="F446" s="601"/>
      <c r="G446" s="601"/>
      <c r="H446" s="601"/>
      <c r="I446" s="601"/>
      <c r="J446" s="601"/>
      <c r="K446" s="601"/>
      <c r="L446" s="601"/>
      <c r="M446" s="601"/>
      <c r="N446" s="200"/>
      <c r="O446" s="199"/>
      <c r="P446" s="24"/>
      <c r="Q446" s="24"/>
      <c r="R446" s="24"/>
      <c r="S446" s="24"/>
      <c r="T446" s="24"/>
      <c r="U446" s="24"/>
      <c r="V446" s="24"/>
      <c r="W446" s="24"/>
      <c r="X446" s="24"/>
      <c r="Y446" s="24"/>
      <c r="Z446" s="24"/>
      <c r="AA446" s="24"/>
      <c r="AB446" s="200"/>
    </row>
    <row r="447" spans="1:82" ht="19.95" customHeight="1">
      <c r="A447" s="199"/>
      <c r="B447" s="601"/>
      <c r="C447" s="601"/>
      <c r="D447" s="601"/>
      <c r="E447" s="601"/>
      <c r="F447" s="601"/>
      <c r="G447" s="601"/>
      <c r="H447" s="601"/>
      <c r="I447" s="601"/>
      <c r="J447" s="601"/>
      <c r="K447" s="601"/>
      <c r="L447" s="601"/>
      <c r="M447" s="601"/>
      <c r="N447" s="200"/>
      <c r="O447" s="199"/>
      <c r="P447" s="24"/>
      <c r="Q447" s="24"/>
      <c r="R447" s="24"/>
      <c r="S447" s="24"/>
      <c r="T447" s="24"/>
      <c r="U447" s="24"/>
      <c r="V447" s="24"/>
      <c r="W447" s="24"/>
      <c r="X447" s="24"/>
      <c r="Y447" s="24"/>
      <c r="Z447" s="24"/>
      <c r="AA447" s="24"/>
      <c r="AB447" s="200"/>
    </row>
    <row r="448" spans="1:82" ht="19.95" customHeight="1">
      <c r="A448" s="199"/>
      <c r="B448" s="601"/>
      <c r="C448" s="601"/>
      <c r="D448" s="601"/>
      <c r="E448" s="601"/>
      <c r="F448" s="601"/>
      <c r="G448" s="601"/>
      <c r="H448" s="601"/>
      <c r="I448" s="601"/>
      <c r="J448" s="601"/>
      <c r="K448" s="601"/>
      <c r="L448" s="601"/>
      <c r="M448" s="601"/>
      <c r="N448" s="200"/>
      <c r="O448" s="199"/>
      <c r="P448" s="24"/>
      <c r="Q448" s="24"/>
      <c r="R448" s="24"/>
      <c r="S448" s="24"/>
      <c r="T448" s="24"/>
      <c r="U448" s="24"/>
      <c r="V448" s="24"/>
      <c r="W448" s="24"/>
      <c r="X448" s="24"/>
      <c r="Y448" s="24"/>
      <c r="Z448" s="24"/>
      <c r="AA448" s="24"/>
      <c r="AB448" s="200"/>
    </row>
    <row r="449" spans="1:28" ht="19.95" customHeight="1">
      <c r="A449" s="199"/>
      <c r="B449" s="601"/>
      <c r="C449" s="601"/>
      <c r="D449" s="601"/>
      <c r="E449" s="601"/>
      <c r="F449" s="601"/>
      <c r="G449" s="601"/>
      <c r="H449" s="601"/>
      <c r="I449" s="601"/>
      <c r="J449" s="601"/>
      <c r="K449" s="601"/>
      <c r="L449" s="601"/>
      <c r="M449" s="601"/>
      <c r="N449" s="200"/>
      <c r="O449" s="199"/>
      <c r="P449" s="24"/>
      <c r="Q449" s="24"/>
      <c r="R449" s="24"/>
      <c r="S449" s="24"/>
      <c r="T449" s="24"/>
      <c r="U449" s="24"/>
      <c r="V449" s="24"/>
      <c r="W449" s="24"/>
      <c r="X449" s="24"/>
      <c r="Y449" s="24"/>
      <c r="Z449" s="24"/>
      <c r="AA449" s="24"/>
      <c r="AB449" s="200"/>
    </row>
    <row r="450" spans="1:28" ht="19.95" customHeight="1">
      <c r="A450" s="199"/>
      <c r="B450" s="601"/>
      <c r="C450" s="601"/>
      <c r="D450" s="601"/>
      <c r="E450" s="601"/>
      <c r="F450" s="601"/>
      <c r="G450" s="601"/>
      <c r="H450" s="601"/>
      <c r="I450" s="601"/>
      <c r="J450" s="601"/>
      <c r="K450" s="601"/>
      <c r="L450" s="601"/>
      <c r="M450" s="601"/>
      <c r="N450" s="200"/>
      <c r="O450" s="199"/>
      <c r="P450" s="24"/>
      <c r="Q450" s="24"/>
      <c r="R450" s="24"/>
      <c r="S450" s="24"/>
      <c r="T450" s="24"/>
      <c r="U450" s="24"/>
      <c r="V450" s="24"/>
      <c r="W450" s="24"/>
      <c r="X450" s="24"/>
      <c r="Y450" s="24"/>
      <c r="Z450" s="24"/>
      <c r="AA450" s="24"/>
      <c r="AB450" s="200"/>
    </row>
    <row r="451" spans="1:28" ht="4.95" customHeight="1">
      <c r="A451" s="199"/>
      <c r="B451" s="601"/>
      <c r="C451" s="601"/>
      <c r="D451" s="601"/>
      <c r="E451" s="601"/>
      <c r="F451" s="601"/>
      <c r="G451" s="601"/>
      <c r="H451" s="601"/>
      <c r="I451" s="601"/>
      <c r="J451" s="601"/>
      <c r="K451" s="601"/>
      <c r="L451" s="601"/>
      <c r="M451" s="601"/>
      <c r="N451" s="200"/>
      <c r="O451" s="199"/>
      <c r="P451" s="24"/>
      <c r="Q451" s="24"/>
      <c r="R451" s="24"/>
      <c r="S451" s="24"/>
      <c r="T451" s="24"/>
      <c r="U451" s="24"/>
      <c r="V451" s="24"/>
      <c r="W451" s="24"/>
      <c r="X451" s="24"/>
      <c r="Y451" s="24"/>
      <c r="Z451" s="24"/>
      <c r="AA451" s="24"/>
      <c r="AB451" s="200"/>
    </row>
    <row r="452" spans="1:28" ht="19.95" customHeight="1">
      <c r="A452" s="199"/>
      <c r="B452" s="601"/>
      <c r="C452" s="601"/>
      <c r="D452" s="601"/>
      <c r="E452" s="601"/>
      <c r="F452" s="601"/>
      <c r="G452" s="601"/>
      <c r="H452" s="601"/>
      <c r="I452" s="601"/>
      <c r="J452" s="601"/>
      <c r="K452" s="601"/>
      <c r="L452" s="601"/>
      <c r="M452" s="601"/>
      <c r="N452" s="200"/>
      <c r="O452" s="199"/>
      <c r="P452" s="24"/>
      <c r="Q452" s="24"/>
      <c r="R452" s="24"/>
      <c r="S452" s="24"/>
      <c r="T452" s="24"/>
      <c r="U452" s="24"/>
      <c r="V452" s="24"/>
      <c r="W452" s="24"/>
      <c r="X452" s="24"/>
      <c r="Y452" s="24"/>
      <c r="Z452" s="24"/>
      <c r="AA452" s="24"/>
      <c r="AB452" s="200"/>
    </row>
    <row r="453" spans="1:28" ht="19.95" customHeight="1">
      <c r="A453" s="199"/>
      <c r="B453" s="601"/>
      <c r="C453" s="601"/>
      <c r="D453" s="601"/>
      <c r="E453" s="601"/>
      <c r="F453" s="601"/>
      <c r="G453" s="601"/>
      <c r="H453" s="601"/>
      <c r="I453" s="601"/>
      <c r="J453" s="601"/>
      <c r="K453" s="601"/>
      <c r="L453" s="601"/>
      <c r="M453" s="601"/>
      <c r="N453" s="200"/>
      <c r="O453" s="199"/>
      <c r="P453" s="24"/>
      <c r="Q453" s="24"/>
      <c r="R453" s="24"/>
      <c r="S453" s="24"/>
      <c r="T453" s="24"/>
      <c r="U453" s="24"/>
      <c r="V453" s="24"/>
      <c r="W453" s="24"/>
      <c r="X453" s="24"/>
      <c r="Y453" s="24"/>
      <c r="Z453" s="24"/>
      <c r="AA453" s="24"/>
      <c r="AB453" s="200"/>
    </row>
    <row r="454" spans="1:28" ht="19.95" customHeight="1">
      <c r="A454" s="199"/>
      <c r="B454" s="601"/>
      <c r="C454" s="601"/>
      <c r="D454" s="601"/>
      <c r="E454" s="601"/>
      <c r="F454" s="601"/>
      <c r="G454" s="601"/>
      <c r="H454" s="601"/>
      <c r="I454" s="601"/>
      <c r="J454" s="601"/>
      <c r="K454" s="601"/>
      <c r="L454" s="601"/>
      <c r="M454" s="601"/>
      <c r="N454" s="200"/>
      <c r="O454" s="199"/>
      <c r="P454" s="24"/>
      <c r="Q454" s="24"/>
      <c r="R454" s="24"/>
      <c r="S454" s="24"/>
      <c r="T454" s="24"/>
      <c r="U454" s="24"/>
      <c r="V454" s="24"/>
      <c r="W454" s="24"/>
      <c r="X454" s="24"/>
      <c r="Y454" s="24"/>
      <c r="Z454" s="24"/>
      <c r="AA454" s="24"/>
      <c r="AB454" s="200"/>
    </row>
    <row r="455" spans="1:28" ht="19.95" customHeight="1">
      <c r="A455" s="199"/>
      <c r="B455" s="601"/>
      <c r="C455" s="601"/>
      <c r="D455" s="601"/>
      <c r="E455" s="601"/>
      <c r="F455" s="601"/>
      <c r="G455" s="601"/>
      <c r="H455" s="601"/>
      <c r="I455" s="601"/>
      <c r="J455" s="601"/>
      <c r="K455" s="601"/>
      <c r="L455" s="601"/>
      <c r="M455" s="601"/>
      <c r="N455" s="200"/>
      <c r="O455" s="199"/>
      <c r="P455" s="24"/>
      <c r="Q455" s="24"/>
      <c r="R455" s="24"/>
      <c r="S455" s="24"/>
      <c r="T455" s="24"/>
      <c r="U455" s="24"/>
      <c r="V455" s="24"/>
      <c r="W455" s="24"/>
      <c r="X455" s="24"/>
      <c r="Y455" s="24"/>
      <c r="Z455" s="24"/>
      <c r="AA455" s="24"/>
      <c r="AB455" s="200"/>
    </row>
    <row r="456" spans="1:28" ht="19.95" customHeight="1">
      <c r="A456" s="199"/>
      <c r="B456" s="601"/>
      <c r="C456" s="601"/>
      <c r="D456" s="601"/>
      <c r="E456" s="601"/>
      <c r="F456" s="601"/>
      <c r="G456" s="601"/>
      <c r="H456" s="601"/>
      <c r="I456" s="601"/>
      <c r="J456" s="601"/>
      <c r="K456" s="601"/>
      <c r="L456" s="601"/>
      <c r="M456" s="601"/>
      <c r="N456" s="200"/>
      <c r="O456" s="199"/>
      <c r="P456" s="24"/>
      <c r="Q456" s="24"/>
      <c r="R456" s="24"/>
      <c r="S456" s="24"/>
      <c r="T456" s="24"/>
      <c r="U456" s="24"/>
      <c r="V456" s="24"/>
      <c r="W456" s="24"/>
      <c r="X456" s="24"/>
      <c r="Y456" s="24"/>
      <c r="Z456" s="24"/>
      <c r="AA456" s="24"/>
      <c r="AB456" s="200"/>
    </row>
    <row r="457" spans="1:28" ht="4.8" customHeight="1">
      <c r="A457" s="199"/>
      <c r="B457" s="601"/>
      <c r="C457" s="601"/>
      <c r="D457" s="601"/>
      <c r="E457" s="601"/>
      <c r="F457" s="601"/>
      <c r="G457" s="601"/>
      <c r="H457" s="601"/>
      <c r="I457" s="601"/>
      <c r="J457" s="601"/>
      <c r="K457" s="601"/>
      <c r="L457" s="601"/>
      <c r="M457" s="601"/>
      <c r="N457" s="200"/>
      <c r="O457" s="199"/>
      <c r="P457" s="24"/>
      <c r="Q457" s="24"/>
      <c r="R457" s="24"/>
      <c r="S457" s="24"/>
      <c r="T457" s="24"/>
      <c r="U457" s="24"/>
      <c r="V457" s="24"/>
      <c r="W457" s="24"/>
      <c r="X457" s="24"/>
      <c r="Y457" s="24"/>
      <c r="Z457" s="24"/>
      <c r="AA457" s="24"/>
      <c r="AB457" s="200"/>
    </row>
    <row r="458" spans="1:28" ht="19.05" customHeight="1">
      <c r="A458" s="199"/>
      <c r="B458" s="601"/>
      <c r="C458" s="601"/>
      <c r="D458" s="601"/>
      <c r="E458" s="601"/>
      <c r="F458" s="601"/>
      <c r="G458" s="601"/>
      <c r="H458" s="601"/>
      <c r="I458" s="601"/>
      <c r="J458" s="601"/>
      <c r="K458" s="601"/>
      <c r="L458" s="601"/>
      <c r="M458" s="601"/>
      <c r="N458" s="200"/>
      <c r="O458" s="199"/>
      <c r="P458" s="24"/>
      <c r="Q458" s="24"/>
      <c r="R458" s="24"/>
      <c r="S458" s="24"/>
      <c r="T458" s="24"/>
      <c r="U458" s="24"/>
      <c r="V458" s="24"/>
      <c r="W458" s="24"/>
      <c r="X458" s="24"/>
      <c r="Y458" s="24"/>
      <c r="Z458" s="24"/>
      <c r="AA458" s="24"/>
      <c r="AB458" s="200"/>
    </row>
    <row r="459" spans="1:28" ht="19.05" customHeight="1">
      <c r="A459" s="199"/>
      <c r="B459" s="601"/>
      <c r="C459" s="601"/>
      <c r="D459" s="601"/>
      <c r="E459" s="601"/>
      <c r="F459" s="601"/>
      <c r="G459" s="601"/>
      <c r="H459" s="601"/>
      <c r="I459" s="601"/>
      <c r="J459" s="601"/>
      <c r="K459" s="601"/>
      <c r="L459" s="601"/>
      <c r="M459" s="601"/>
      <c r="N459" s="200"/>
      <c r="O459" s="199"/>
      <c r="P459" s="24"/>
      <c r="Q459" s="24"/>
      <c r="R459" s="24"/>
      <c r="S459" s="24"/>
      <c r="T459" s="24"/>
      <c r="U459" s="24"/>
      <c r="V459" s="24"/>
      <c r="W459" s="24"/>
      <c r="X459" s="24"/>
      <c r="Y459" s="24"/>
      <c r="Z459" s="24"/>
      <c r="AA459" s="24"/>
      <c r="AB459" s="200"/>
    </row>
    <row r="460" spans="1:28" ht="19.05" customHeight="1">
      <c r="A460" s="199"/>
      <c r="B460" s="601"/>
      <c r="C460" s="601"/>
      <c r="D460" s="601"/>
      <c r="E460" s="601"/>
      <c r="F460" s="601"/>
      <c r="G460" s="601"/>
      <c r="H460" s="601"/>
      <c r="I460" s="601"/>
      <c r="J460" s="601"/>
      <c r="K460" s="601"/>
      <c r="L460" s="601"/>
      <c r="M460" s="601"/>
      <c r="N460" s="200"/>
      <c r="O460" s="199"/>
      <c r="P460" s="24"/>
      <c r="Q460" s="24"/>
      <c r="R460" s="24"/>
      <c r="S460" s="24"/>
      <c r="T460" s="24"/>
      <c r="U460" s="24"/>
      <c r="V460" s="24"/>
      <c r="W460" s="24"/>
      <c r="X460" s="24"/>
      <c r="Y460" s="24"/>
      <c r="Z460" s="24"/>
      <c r="AA460" s="24"/>
      <c r="AB460" s="200"/>
    </row>
    <row r="461" spans="1:28" ht="4.95" customHeight="1">
      <c r="A461" s="201"/>
      <c r="B461" s="202"/>
      <c r="C461" s="202"/>
      <c r="D461" s="202"/>
      <c r="E461" s="202"/>
      <c r="F461" s="202"/>
      <c r="G461" s="202"/>
      <c r="H461" s="202"/>
      <c r="I461" s="202"/>
      <c r="J461" s="202"/>
      <c r="K461" s="202"/>
      <c r="L461" s="202"/>
      <c r="M461" s="202"/>
      <c r="N461" s="200"/>
      <c r="O461" s="199"/>
      <c r="P461" s="202"/>
      <c r="Q461" s="202"/>
      <c r="R461" s="202"/>
      <c r="S461" s="202"/>
      <c r="T461" s="202"/>
      <c r="U461" s="202"/>
      <c r="V461" s="202"/>
      <c r="W461" s="202"/>
      <c r="X461" s="202"/>
      <c r="Y461" s="202"/>
      <c r="Z461" s="202"/>
      <c r="AA461" s="202"/>
      <c r="AB461" s="203"/>
    </row>
    <row r="462" spans="1:28" ht="30" customHeight="1">
      <c r="A462" s="210" t="s">
        <v>1148</v>
      </c>
      <c r="B462" s="886" t="s">
        <v>3157</v>
      </c>
      <c r="C462" s="886"/>
      <c r="D462" s="886"/>
      <c r="E462" s="886"/>
      <c r="F462" s="886"/>
      <c r="G462" s="886"/>
      <c r="H462" s="886"/>
      <c r="I462" s="886"/>
      <c r="J462" s="886"/>
      <c r="K462" s="886"/>
      <c r="L462" s="886"/>
      <c r="M462" s="886"/>
      <c r="N462" s="211" t="s">
        <v>1149</v>
      </c>
      <c r="O462" s="210"/>
      <c r="P462" s="886"/>
      <c r="Q462" s="886"/>
      <c r="R462" s="886"/>
      <c r="S462" s="886"/>
      <c r="T462" s="886"/>
      <c r="U462" s="886"/>
      <c r="V462" s="886"/>
      <c r="W462" s="886"/>
      <c r="X462" s="886"/>
      <c r="Y462" s="886"/>
      <c r="Z462" s="886"/>
      <c r="AA462" s="886"/>
      <c r="AB462" s="211" t="s">
        <v>1149</v>
      </c>
    </row>
    <row r="463" spans="1:28" ht="10.050000000000001" customHeight="1">
      <c r="A463" s="199"/>
      <c r="B463" s="24"/>
      <c r="C463" s="24"/>
      <c r="D463" s="24"/>
      <c r="E463" s="24"/>
      <c r="F463" s="24"/>
      <c r="G463" s="24"/>
      <c r="H463" s="24"/>
      <c r="I463" s="24"/>
      <c r="J463" s="24"/>
      <c r="K463" s="24"/>
      <c r="L463" s="24"/>
      <c r="M463" s="24"/>
      <c r="N463" s="200"/>
      <c r="O463" s="199"/>
      <c r="P463" s="24"/>
      <c r="Q463" s="24"/>
      <c r="R463" s="24"/>
      <c r="S463" s="24"/>
      <c r="T463" s="24"/>
      <c r="U463" s="24"/>
      <c r="V463" s="24"/>
      <c r="W463" s="24"/>
      <c r="X463" s="24"/>
      <c r="Y463" s="24"/>
      <c r="Z463" s="24"/>
      <c r="AA463" s="24"/>
      <c r="AB463" s="200"/>
    </row>
    <row r="464" spans="1:28" ht="19.95" customHeight="1">
      <c r="A464" s="199"/>
      <c r="B464" s="690" t="s">
        <v>2549</v>
      </c>
      <c r="C464" s="397"/>
      <c r="D464" s="397"/>
      <c r="E464" s="397"/>
      <c r="F464" s="397"/>
      <c r="G464" s="397"/>
      <c r="H464" s="397"/>
      <c r="I464" s="397"/>
      <c r="J464" s="397"/>
      <c r="K464" s="397"/>
      <c r="L464" s="397"/>
      <c r="M464" s="397"/>
      <c r="N464" s="200"/>
      <c r="O464" s="199"/>
      <c r="P464" s="24"/>
      <c r="Q464" s="24"/>
      <c r="R464" s="24"/>
      <c r="S464" s="24"/>
      <c r="T464" s="24"/>
      <c r="U464" s="24"/>
      <c r="V464" s="24"/>
      <c r="W464" s="24"/>
      <c r="X464" s="24"/>
      <c r="Y464" s="24"/>
      <c r="Z464" s="24"/>
      <c r="AA464" s="24"/>
      <c r="AB464" s="200"/>
    </row>
    <row r="465" spans="1:28" ht="10.050000000000001" customHeight="1">
      <c r="A465" s="199"/>
      <c r="B465" s="397"/>
      <c r="C465" s="397"/>
      <c r="D465" s="397"/>
      <c r="E465" s="397"/>
      <c r="F465" s="397"/>
      <c r="G465" s="397"/>
      <c r="H465" s="397"/>
      <c r="I465" s="397"/>
      <c r="J465" s="397"/>
      <c r="K465" s="397"/>
      <c r="L465" s="397"/>
      <c r="M465" s="397"/>
      <c r="N465" s="200"/>
      <c r="O465" s="199"/>
      <c r="P465" s="24"/>
      <c r="Q465" s="24"/>
      <c r="R465" s="24"/>
      <c r="S465" s="24"/>
      <c r="T465" s="24"/>
      <c r="U465" s="24"/>
      <c r="V465" s="24"/>
      <c r="W465" s="24"/>
      <c r="X465" s="24"/>
      <c r="Y465" s="24"/>
      <c r="Z465" s="24"/>
      <c r="AA465" s="24"/>
      <c r="AB465" s="200"/>
    </row>
    <row r="466" spans="1:28" ht="19.95" customHeight="1">
      <c r="A466" s="199"/>
      <c r="B466" s="601"/>
      <c r="C466" s="601"/>
      <c r="D466" s="601"/>
      <c r="E466" s="601"/>
      <c r="F466" s="601"/>
      <c r="G466" s="601"/>
      <c r="H466" s="601"/>
      <c r="I466" s="601"/>
      <c r="J466" s="601"/>
      <c r="K466" s="601"/>
      <c r="L466" s="601"/>
      <c r="M466" s="601"/>
      <c r="N466" s="200"/>
      <c r="O466" s="199"/>
      <c r="P466" s="24"/>
      <c r="Q466" s="24"/>
      <c r="R466" s="24"/>
      <c r="S466" s="24"/>
      <c r="T466" s="24"/>
      <c r="U466" s="24"/>
      <c r="V466" s="24"/>
      <c r="W466" s="24"/>
      <c r="X466" s="24"/>
      <c r="Y466" s="24"/>
      <c r="Z466" s="24"/>
      <c r="AA466" s="24"/>
      <c r="AB466" s="200"/>
    </row>
    <row r="467" spans="1:28" ht="19.95" customHeight="1">
      <c r="A467" s="199"/>
      <c r="B467" s="601"/>
      <c r="C467" s="601"/>
      <c r="D467" s="601"/>
      <c r="E467" s="601"/>
      <c r="F467" s="601"/>
      <c r="G467" s="601"/>
      <c r="H467" s="601"/>
      <c r="I467" s="601"/>
      <c r="J467" s="601"/>
      <c r="K467" s="601"/>
      <c r="L467" s="601"/>
      <c r="M467" s="601"/>
      <c r="N467" s="200"/>
      <c r="O467" s="199"/>
      <c r="P467" s="24"/>
      <c r="Q467" s="24"/>
      <c r="R467" s="24"/>
      <c r="S467" s="24"/>
      <c r="T467" s="24"/>
      <c r="U467" s="24"/>
      <c r="V467" s="24"/>
      <c r="W467" s="24"/>
      <c r="X467" s="24"/>
      <c r="Y467" s="24"/>
      <c r="Z467" s="24"/>
      <c r="AA467" s="24"/>
      <c r="AB467" s="200"/>
    </row>
    <row r="468" spans="1:28" ht="19.95" customHeight="1">
      <c r="A468" s="199"/>
      <c r="B468" s="601"/>
      <c r="C468" s="601"/>
      <c r="D468" s="601"/>
      <c r="E468" s="601"/>
      <c r="F468" s="601"/>
      <c r="G468" s="601"/>
      <c r="H468" s="601"/>
      <c r="I468" s="601"/>
      <c r="J468" s="601"/>
      <c r="K468" s="601"/>
      <c r="L468" s="601"/>
      <c r="M468" s="601"/>
      <c r="N468" s="200"/>
      <c r="O468" s="199"/>
      <c r="P468" s="24"/>
      <c r="Q468" s="24"/>
      <c r="R468" s="24"/>
      <c r="S468" s="24"/>
      <c r="T468" s="24"/>
      <c r="U468" s="24"/>
      <c r="V468" s="24"/>
      <c r="W468" s="24"/>
      <c r="X468" s="24"/>
      <c r="Y468" s="24"/>
      <c r="Z468" s="24"/>
      <c r="AA468" s="24"/>
      <c r="AB468" s="200"/>
    </row>
    <row r="469" spans="1:28" ht="19.95" customHeight="1">
      <c r="A469" s="199"/>
      <c r="B469" s="601"/>
      <c r="C469" s="601"/>
      <c r="D469" s="601"/>
      <c r="E469" s="601"/>
      <c r="F469" s="601"/>
      <c r="G469" s="601"/>
      <c r="H469" s="601"/>
      <c r="I469" s="601"/>
      <c r="J469" s="601"/>
      <c r="K469" s="601"/>
      <c r="L469" s="601"/>
      <c r="M469" s="601"/>
      <c r="N469" s="200"/>
      <c r="O469" s="199"/>
      <c r="P469" s="24"/>
      <c r="Q469" s="24"/>
      <c r="R469" s="24"/>
      <c r="S469" s="24"/>
      <c r="T469" s="24"/>
      <c r="U469" s="24"/>
      <c r="V469" s="24"/>
      <c r="W469" s="24"/>
      <c r="X469" s="24"/>
      <c r="Y469" s="24"/>
      <c r="Z469" s="24"/>
      <c r="AA469" s="24"/>
      <c r="AB469" s="200"/>
    </row>
    <row r="470" spans="1:28" ht="19.95" customHeight="1">
      <c r="A470" s="199"/>
      <c r="B470" s="601"/>
      <c r="C470" s="601"/>
      <c r="D470" s="601"/>
      <c r="E470" s="601"/>
      <c r="F470" s="601"/>
      <c r="G470" s="601"/>
      <c r="H470" s="601"/>
      <c r="I470" s="601"/>
      <c r="J470" s="601"/>
      <c r="K470" s="601"/>
      <c r="L470" s="601"/>
      <c r="M470" s="601"/>
      <c r="N470" s="200"/>
      <c r="O470" s="199"/>
      <c r="P470" s="24"/>
      <c r="Q470" s="24"/>
      <c r="R470" s="24"/>
      <c r="S470" s="24"/>
      <c r="T470" s="24"/>
      <c r="U470" s="24"/>
      <c r="V470" s="24"/>
      <c r="W470" s="24"/>
      <c r="X470" s="24"/>
      <c r="Y470" s="24"/>
      <c r="Z470" s="24"/>
      <c r="AA470" s="24"/>
      <c r="AB470" s="200"/>
    </row>
    <row r="471" spans="1:28" ht="19.95" customHeight="1">
      <c r="A471" s="199"/>
      <c r="B471" s="601"/>
      <c r="C471" s="601"/>
      <c r="D471" s="601"/>
      <c r="E471" s="601"/>
      <c r="F471" s="601"/>
      <c r="G471" s="601"/>
      <c r="H471" s="601"/>
      <c r="I471" s="601"/>
      <c r="J471" s="601"/>
      <c r="K471" s="601"/>
      <c r="L471" s="601"/>
      <c r="M471" s="601"/>
      <c r="N471" s="200"/>
      <c r="O471" s="199"/>
      <c r="P471" s="24"/>
      <c r="Q471" s="24"/>
      <c r="R471" s="24"/>
      <c r="S471" s="24"/>
      <c r="T471" s="24"/>
      <c r="U471" s="24"/>
      <c r="V471" s="24"/>
      <c r="W471" s="24"/>
      <c r="X471" s="24"/>
      <c r="Y471" s="24"/>
      <c r="Z471" s="24"/>
      <c r="AA471" s="24"/>
      <c r="AB471" s="200"/>
    </row>
    <row r="472" spans="1:28" ht="19.95" customHeight="1">
      <c r="A472" s="199"/>
      <c r="B472" s="601"/>
      <c r="C472" s="601"/>
      <c r="D472" s="601"/>
      <c r="E472" s="601"/>
      <c r="F472" s="601"/>
      <c r="G472" s="601"/>
      <c r="H472" s="601"/>
      <c r="I472" s="601"/>
      <c r="J472" s="601"/>
      <c r="K472" s="601"/>
      <c r="L472" s="601"/>
      <c r="M472" s="601"/>
      <c r="N472" s="200"/>
      <c r="O472" s="199"/>
      <c r="P472" s="24"/>
      <c r="Q472" s="24"/>
      <c r="R472" s="24"/>
      <c r="S472" s="24"/>
      <c r="T472" s="24"/>
      <c r="U472" s="24"/>
      <c r="V472" s="24"/>
      <c r="W472" s="24"/>
      <c r="X472" s="24"/>
      <c r="Y472" s="24"/>
      <c r="Z472" s="24"/>
      <c r="AA472" s="24"/>
      <c r="AB472" s="200"/>
    </row>
    <row r="473" spans="1:28" ht="19.95" customHeight="1">
      <c r="A473" s="199"/>
      <c r="B473" s="601"/>
      <c r="C473" s="601"/>
      <c r="D473" s="601"/>
      <c r="E473" s="601"/>
      <c r="F473" s="601"/>
      <c r="G473" s="601"/>
      <c r="H473" s="601"/>
      <c r="I473" s="601"/>
      <c r="J473" s="601"/>
      <c r="K473" s="601"/>
      <c r="L473" s="601"/>
      <c r="M473" s="601"/>
      <c r="N473" s="200"/>
      <c r="O473" s="199"/>
      <c r="P473" s="24"/>
      <c r="Q473" s="24"/>
      <c r="R473" s="24"/>
      <c r="S473" s="24"/>
      <c r="T473" s="24"/>
      <c r="U473" s="24"/>
      <c r="V473" s="24"/>
      <c r="W473" s="24"/>
      <c r="X473" s="24"/>
      <c r="Y473" s="24"/>
      <c r="Z473" s="24"/>
      <c r="AA473" s="24"/>
      <c r="AB473" s="200"/>
    </row>
    <row r="474" spans="1:28" ht="19.95" customHeight="1">
      <c r="A474" s="199"/>
      <c r="B474" s="601"/>
      <c r="C474" s="601"/>
      <c r="D474" s="601"/>
      <c r="E474" s="601"/>
      <c r="F474" s="601"/>
      <c r="G474" s="601"/>
      <c r="H474" s="601"/>
      <c r="I474" s="601"/>
      <c r="J474" s="601"/>
      <c r="K474" s="601"/>
      <c r="L474" s="601"/>
      <c r="M474" s="601"/>
      <c r="N474" s="200"/>
      <c r="O474" s="199"/>
      <c r="P474" s="24"/>
      <c r="Q474" s="24"/>
      <c r="R474" s="24"/>
      <c r="S474" s="24"/>
      <c r="T474" s="24"/>
      <c r="U474" s="24"/>
      <c r="V474" s="24"/>
      <c r="W474" s="24"/>
      <c r="X474" s="24"/>
      <c r="Y474" s="24"/>
      <c r="Z474" s="24"/>
      <c r="AA474" s="24"/>
      <c r="AB474" s="200"/>
    </row>
    <row r="475" spans="1:28" ht="19.95" customHeight="1">
      <c r="A475" s="199"/>
      <c r="B475" s="24"/>
      <c r="C475" s="24"/>
      <c r="D475" s="24"/>
      <c r="E475" s="24"/>
      <c r="F475" s="24"/>
      <c r="G475" s="24"/>
      <c r="H475" s="24"/>
      <c r="I475" s="24"/>
      <c r="J475" s="24"/>
      <c r="K475" s="24"/>
      <c r="L475" s="24"/>
      <c r="M475" s="24"/>
      <c r="N475" s="200"/>
      <c r="O475" s="199"/>
      <c r="P475" s="24"/>
      <c r="Q475" s="24"/>
      <c r="R475" s="24"/>
      <c r="S475" s="24"/>
      <c r="T475" s="24"/>
      <c r="U475" s="24"/>
      <c r="V475" s="24"/>
      <c r="W475" s="24"/>
      <c r="X475" s="24"/>
      <c r="Y475" s="24"/>
      <c r="Z475" s="24"/>
      <c r="AA475" s="24"/>
      <c r="AB475" s="200"/>
    </row>
    <row r="476" spans="1:28" ht="19.95" customHeight="1">
      <c r="A476" s="199"/>
      <c r="B476" s="601"/>
      <c r="C476" s="601"/>
      <c r="D476" s="601"/>
      <c r="E476" s="601"/>
      <c r="F476" s="601"/>
      <c r="G476" s="601"/>
      <c r="H476" s="601"/>
      <c r="I476" s="601"/>
      <c r="J476" s="601"/>
      <c r="K476" s="601"/>
      <c r="L476" s="601"/>
      <c r="M476" s="601"/>
      <c r="N476" s="200"/>
      <c r="O476" s="199"/>
      <c r="P476" s="24"/>
      <c r="Q476" s="24"/>
      <c r="R476" s="24"/>
      <c r="S476" s="24"/>
      <c r="T476" s="24"/>
      <c r="U476" s="24"/>
      <c r="V476" s="24"/>
      <c r="W476" s="24"/>
      <c r="X476" s="24"/>
      <c r="Y476" s="24"/>
      <c r="Z476" s="24"/>
      <c r="AA476" s="24"/>
      <c r="AB476" s="200"/>
    </row>
    <row r="477" spans="1:28" ht="19.95" customHeight="1">
      <c r="A477" s="199"/>
      <c r="B477" s="601"/>
      <c r="C477" s="601"/>
      <c r="D477" s="601"/>
      <c r="E477" s="601"/>
      <c r="F477" s="601"/>
      <c r="G477" s="601"/>
      <c r="H477" s="601"/>
      <c r="I477" s="601"/>
      <c r="J477" s="601"/>
      <c r="K477" s="601"/>
      <c r="L477" s="601"/>
      <c r="M477" s="601"/>
      <c r="N477" s="200"/>
      <c r="O477" s="199"/>
      <c r="P477" s="24"/>
      <c r="Q477" s="24"/>
      <c r="R477" s="24"/>
      <c r="S477" s="24"/>
      <c r="T477" s="24"/>
      <c r="U477" s="24"/>
      <c r="V477" s="24"/>
      <c r="W477" s="24"/>
      <c r="X477" s="24"/>
      <c r="Y477" s="24"/>
      <c r="Z477" s="24"/>
      <c r="AA477" s="24"/>
      <c r="AB477" s="200"/>
    </row>
    <row r="478" spans="1:28" ht="19.95" customHeight="1">
      <c r="A478" s="199"/>
      <c r="B478" s="601"/>
      <c r="C478" s="601"/>
      <c r="D478" s="601"/>
      <c r="E478" s="601"/>
      <c r="F478" s="601"/>
      <c r="G478" s="601"/>
      <c r="H478" s="601"/>
      <c r="I478" s="601"/>
      <c r="J478" s="601"/>
      <c r="K478" s="601"/>
      <c r="L478" s="601"/>
      <c r="M478" s="601"/>
      <c r="N478" s="200"/>
      <c r="O478" s="199"/>
      <c r="P478" s="24"/>
      <c r="Q478" s="24"/>
      <c r="R478" s="24"/>
      <c r="S478" s="24"/>
      <c r="T478" s="24"/>
      <c r="U478" s="24"/>
      <c r="V478" s="24"/>
      <c r="W478" s="24"/>
      <c r="X478" s="24"/>
      <c r="Y478" s="24"/>
      <c r="Z478" s="24"/>
      <c r="AA478" s="24"/>
      <c r="AB478" s="200"/>
    </row>
    <row r="479" spans="1:28" ht="19.95" customHeight="1">
      <c r="A479" s="199"/>
      <c r="B479" s="601"/>
      <c r="C479" s="601"/>
      <c r="D479" s="601"/>
      <c r="E479" s="601"/>
      <c r="F479" s="601"/>
      <c r="G479" s="601"/>
      <c r="H479" s="601"/>
      <c r="I479" s="601"/>
      <c r="J479" s="601"/>
      <c r="K479" s="601"/>
      <c r="L479" s="601"/>
      <c r="M479" s="601"/>
      <c r="N479" s="200"/>
      <c r="O479" s="199"/>
      <c r="P479" s="24"/>
      <c r="Q479" s="24"/>
      <c r="R479" s="24"/>
      <c r="S479" s="24"/>
      <c r="T479" s="24"/>
      <c r="U479" s="24"/>
      <c r="V479" s="24"/>
      <c r="W479" s="24"/>
      <c r="X479" s="24"/>
      <c r="Y479" s="24"/>
      <c r="Z479" s="24"/>
      <c r="AA479" s="24"/>
      <c r="AB479" s="200"/>
    </row>
    <row r="480" spans="1:28" ht="40.049999999999997" customHeight="1">
      <c r="A480" s="199"/>
      <c r="B480" s="1380" t="s">
        <v>2063</v>
      </c>
      <c r="C480" s="1380"/>
      <c r="D480" s="1380"/>
      <c r="E480" s="1380"/>
      <c r="F480" s="1380"/>
      <c r="G480" s="1380"/>
      <c r="H480" s="1381" t="s">
        <v>2064</v>
      </c>
      <c r="I480" s="1381"/>
      <c r="J480" s="1381"/>
      <c r="K480" s="1381"/>
      <c r="L480" s="1381"/>
      <c r="M480" s="1381"/>
      <c r="N480" s="200"/>
      <c r="O480" s="199"/>
      <c r="P480" s="24"/>
      <c r="Q480" s="24"/>
      <c r="R480" s="24"/>
      <c r="S480" s="24"/>
      <c r="T480" s="24"/>
      <c r="U480" s="24"/>
      <c r="V480" s="24"/>
      <c r="W480" s="24"/>
      <c r="X480" s="24"/>
      <c r="Y480" s="24"/>
      <c r="Z480" s="24"/>
      <c r="AA480" s="24"/>
      <c r="AB480" s="200"/>
    </row>
    <row r="481" spans="1:28" ht="40.049999999999997" customHeight="1">
      <c r="A481" s="199"/>
      <c r="B481" s="1408" t="s">
        <v>2551</v>
      </c>
      <c r="C481" s="1408"/>
      <c r="D481" s="1408"/>
      <c r="E481" s="1408"/>
      <c r="F481" s="1408"/>
      <c r="G481" s="1408"/>
      <c r="H481" s="1409" t="s">
        <v>2552</v>
      </c>
      <c r="I481" s="1409"/>
      <c r="J481" s="1409"/>
      <c r="K481" s="1409"/>
      <c r="L481" s="1409"/>
      <c r="M481" s="1409"/>
      <c r="N481" s="200"/>
      <c r="O481" s="199"/>
      <c r="P481" s="24"/>
      <c r="Q481" s="24"/>
      <c r="R481" s="24"/>
      <c r="S481" s="24"/>
      <c r="T481" s="24"/>
      <c r="U481" s="24"/>
      <c r="V481" s="24"/>
      <c r="W481" s="24"/>
      <c r="X481" s="24"/>
      <c r="Y481" s="24"/>
      <c r="Z481" s="24"/>
      <c r="AA481" s="24"/>
      <c r="AB481" s="200"/>
    </row>
    <row r="482" spans="1:28" ht="4.95" customHeight="1">
      <c r="A482" s="199"/>
      <c r="B482" s="605"/>
      <c r="C482" s="605"/>
      <c r="D482" s="605"/>
      <c r="E482" s="605"/>
      <c r="F482" s="605"/>
      <c r="G482" s="605"/>
      <c r="H482" s="604"/>
      <c r="I482" s="604"/>
      <c r="J482" s="604"/>
      <c r="K482" s="604"/>
      <c r="L482" s="604"/>
      <c r="M482" s="604"/>
      <c r="N482" s="200"/>
      <c r="O482" s="199"/>
      <c r="P482" s="24"/>
      <c r="Q482" s="24"/>
      <c r="R482" s="24"/>
      <c r="S482" s="24"/>
      <c r="T482" s="24"/>
      <c r="U482" s="24"/>
      <c r="V482" s="24"/>
      <c r="W482" s="24"/>
      <c r="X482" s="24"/>
      <c r="Y482" s="24"/>
      <c r="Z482" s="24"/>
      <c r="AA482" s="24"/>
      <c r="AB482" s="200"/>
    </row>
    <row r="483" spans="1:28" ht="49.95" customHeight="1">
      <c r="A483" s="199"/>
      <c r="B483" s="1398" t="s">
        <v>2605</v>
      </c>
      <c r="C483" s="1398"/>
      <c r="D483" s="1398"/>
      <c r="E483" s="1398"/>
      <c r="F483" s="1398"/>
      <c r="G483" s="1398"/>
      <c r="H483" s="1397" t="s">
        <v>2606</v>
      </c>
      <c r="I483" s="1397"/>
      <c r="J483" s="1397"/>
      <c r="K483" s="1397"/>
      <c r="L483" s="1397"/>
      <c r="M483" s="1397"/>
      <c r="N483" s="200"/>
      <c r="O483" s="199"/>
      <c r="P483" s="24"/>
      <c r="Q483" s="24"/>
      <c r="R483" s="24"/>
      <c r="S483" s="24"/>
      <c r="T483" s="24"/>
      <c r="U483" s="24"/>
      <c r="V483" s="24"/>
      <c r="W483" s="24"/>
      <c r="X483" s="24"/>
      <c r="Y483" s="24"/>
      <c r="Z483" s="24"/>
      <c r="AA483" s="24"/>
      <c r="AB483" s="200"/>
    </row>
    <row r="484" spans="1:28" ht="4.95" customHeight="1">
      <c r="A484" s="199"/>
      <c r="B484" s="1398"/>
      <c r="C484" s="1398"/>
      <c r="D484" s="1398"/>
      <c r="E484" s="1398"/>
      <c r="F484" s="1398"/>
      <c r="G484" s="1398"/>
      <c r="H484" s="1397"/>
      <c r="I484" s="1397"/>
      <c r="J484" s="1397"/>
      <c r="K484" s="1397"/>
      <c r="L484" s="1397"/>
      <c r="M484" s="1397"/>
      <c r="N484" s="200"/>
      <c r="O484" s="199"/>
      <c r="P484" s="24"/>
      <c r="Q484" s="24"/>
      <c r="R484" s="24"/>
      <c r="S484" s="24"/>
      <c r="T484" s="24"/>
      <c r="U484" s="24"/>
      <c r="V484" s="24"/>
      <c r="W484" s="24"/>
      <c r="X484" s="24"/>
      <c r="Y484" s="24"/>
      <c r="Z484" s="24"/>
      <c r="AA484" s="24"/>
      <c r="AB484" s="200"/>
    </row>
    <row r="485" spans="1:28" ht="49.95" customHeight="1">
      <c r="A485" s="199"/>
      <c r="B485" s="1398" t="s">
        <v>2602</v>
      </c>
      <c r="C485" s="1398"/>
      <c r="D485" s="1398"/>
      <c r="E485" s="1398"/>
      <c r="F485" s="1398"/>
      <c r="G485" s="1398"/>
      <c r="H485" s="1397" t="s">
        <v>2601</v>
      </c>
      <c r="I485" s="1397"/>
      <c r="J485" s="1397"/>
      <c r="K485" s="1397"/>
      <c r="L485" s="1397"/>
      <c r="M485" s="1397"/>
      <c r="N485" s="200"/>
      <c r="O485" s="199"/>
      <c r="P485" s="24"/>
      <c r="Q485" s="24"/>
      <c r="R485" s="24"/>
      <c r="S485" s="24"/>
      <c r="T485" s="24"/>
      <c r="U485" s="24"/>
      <c r="V485" s="24"/>
      <c r="W485" s="24"/>
      <c r="X485" s="24"/>
      <c r="Y485" s="24"/>
      <c r="Z485" s="24"/>
      <c r="AA485" s="24"/>
      <c r="AB485" s="200"/>
    </row>
    <row r="486" spans="1:28" ht="4.95" customHeight="1">
      <c r="A486" s="199"/>
      <c r="B486" s="605"/>
      <c r="C486" s="605"/>
      <c r="D486" s="605"/>
      <c r="E486" s="605"/>
      <c r="F486" s="605"/>
      <c r="G486" s="605"/>
      <c r="H486" s="604"/>
      <c r="I486" s="604"/>
      <c r="J486" s="604"/>
      <c r="K486" s="604"/>
      <c r="L486" s="604"/>
      <c r="M486" s="604"/>
      <c r="N486" s="200"/>
      <c r="O486" s="199"/>
      <c r="P486" s="24"/>
      <c r="Q486" s="24"/>
      <c r="R486" s="24"/>
      <c r="S486" s="24"/>
      <c r="T486" s="24"/>
      <c r="U486" s="24"/>
      <c r="V486" s="24"/>
      <c r="W486" s="24"/>
      <c r="X486" s="24"/>
      <c r="Y486" s="24"/>
      <c r="Z486" s="24"/>
      <c r="AA486" s="24"/>
      <c r="AB486" s="200"/>
    </row>
    <row r="487" spans="1:28" ht="49.95" customHeight="1">
      <c r="A487" s="199"/>
      <c r="B487" s="1398" t="s">
        <v>2603</v>
      </c>
      <c r="C487" s="1398"/>
      <c r="D487" s="1398"/>
      <c r="E487" s="1398"/>
      <c r="F487" s="1398"/>
      <c r="G487" s="1398"/>
      <c r="H487" s="1397" t="s">
        <v>2604</v>
      </c>
      <c r="I487" s="1397"/>
      <c r="J487" s="1397"/>
      <c r="K487" s="1397"/>
      <c r="L487" s="1397"/>
      <c r="M487" s="1397"/>
      <c r="N487" s="200"/>
      <c r="O487" s="199"/>
      <c r="P487" s="24"/>
      <c r="Q487" s="24"/>
      <c r="R487" s="24"/>
      <c r="S487" s="24"/>
      <c r="T487" s="24"/>
      <c r="U487" s="24"/>
      <c r="V487" s="24"/>
      <c r="W487" s="24"/>
      <c r="X487" s="24"/>
      <c r="Y487" s="24"/>
      <c r="Z487" s="24"/>
      <c r="AA487" s="24"/>
      <c r="AB487" s="200"/>
    </row>
    <row r="488" spans="1:28" ht="4.95" customHeight="1">
      <c r="A488" s="199"/>
      <c r="B488" s="605"/>
      <c r="C488" s="605"/>
      <c r="D488" s="605"/>
      <c r="E488" s="605"/>
      <c r="F488" s="605"/>
      <c r="G488" s="605"/>
      <c r="H488" s="604"/>
      <c r="I488" s="604"/>
      <c r="J488" s="604"/>
      <c r="K488" s="604"/>
      <c r="L488" s="604"/>
      <c r="M488" s="604"/>
      <c r="N488" s="200"/>
      <c r="O488" s="199"/>
      <c r="P488" s="24"/>
      <c r="Q488" s="24"/>
      <c r="R488" s="24"/>
      <c r="S488" s="24"/>
      <c r="T488" s="24"/>
      <c r="U488" s="24"/>
      <c r="V488" s="24"/>
      <c r="W488" s="24"/>
      <c r="X488" s="24"/>
      <c r="Y488" s="24"/>
      <c r="Z488" s="24"/>
      <c r="AA488" s="24"/>
      <c r="AB488" s="200"/>
    </row>
    <row r="489" spans="1:28" ht="19.95" customHeight="1">
      <c r="A489" s="199"/>
      <c r="B489" s="601"/>
      <c r="C489" s="601"/>
      <c r="D489" s="601"/>
      <c r="E489" s="601"/>
      <c r="F489" s="601"/>
      <c r="G489" s="601"/>
      <c r="H489" s="601"/>
      <c r="I489" s="601"/>
      <c r="J489" s="601"/>
      <c r="K489" s="601"/>
      <c r="L489" s="601"/>
      <c r="M489" s="601"/>
      <c r="N489" s="200"/>
      <c r="O489" s="199"/>
      <c r="P489" s="24"/>
      <c r="Q489" s="24"/>
      <c r="R489" s="24"/>
      <c r="S489" s="24"/>
      <c r="T489" s="24"/>
      <c r="U489" s="24"/>
      <c r="V489" s="24"/>
      <c r="W489" s="24"/>
      <c r="X489" s="24"/>
      <c r="Y489" s="24"/>
      <c r="Z489" s="24"/>
      <c r="AA489" s="24"/>
      <c r="AB489" s="200"/>
    </row>
    <row r="490" spans="1:28" ht="19.95" customHeight="1">
      <c r="A490" s="199"/>
      <c r="B490" s="601"/>
      <c r="C490" s="601"/>
      <c r="D490" s="601"/>
      <c r="E490" s="601"/>
      <c r="F490" s="601"/>
      <c r="G490" s="601"/>
      <c r="H490" s="601"/>
      <c r="I490" s="601"/>
      <c r="J490" s="601"/>
      <c r="K490" s="601"/>
      <c r="L490" s="601"/>
      <c r="M490" s="601"/>
      <c r="N490" s="200"/>
      <c r="O490" s="199"/>
      <c r="P490" s="24"/>
      <c r="Q490" s="24"/>
      <c r="R490" s="24"/>
      <c r="S490" s="24"/>
      <c r="T490" s="24"/>
      <c r="U490" s="24"/>
      <c r="V490" s="24"/>
      <c r="W490" s="24"/>
      <c r="X490" s="24"/>
      <c r="Y490" s="24"/>
      <c r="Z490" s="24"/>
      <c r="AA490" s="24"/>
      <c r="AB490" s="200"/>
    </row>
    <row r="491" spans="1:28" ht="19.95" customHeight="1">
      <c r="A491" s="199"/>
      <c r="B491" s="601"/>
      <c r="C491" s="601"/>
      <c r="D491" s="601"/>
      <c r="E491" s="601"/>
      <c r="F491" s="601"/>
      <c r="G491" s="601"/>
      <c r="H491" s="601"/>
      <c r="I491" s="601"/>
      <c r="J491" s="601"/>
      <c r="K491" s="601"/>
      <c r="L491" s="601"/>
      <c r="M491" s="601"/>
      <c r="N491" s="200"/>
      <c r="O491" s="199"/>
      <c r="P491" s="24"/>
      <c r="Q491" s="24"/>
      <c r="R491" s="24"/>
      <c r="S491" s="24"/>
      <c r="T491" s="24"/>
      <c r="U491" s="24"/>
      <c r="V491" s="24"/>
      <c r="W491" s="24"/>
      <c r="X491" s="24"/>
      <c r="Y491" s="24"/>
      <c r="Z491" s="24"/>
      <c r="AA491" s="24"/>
      <c r="AB491" s="200"/>
    </row>
    <row r="492" spans="1:28">
      <c r="A492" s="201"/>
      <c r="B492" s="202"/>
      <c r="C492" s="202"/>
      <c r="D492" s="202"/>
      <c r="E492" s="202"/>
      <c r="F492" s="202"/>
      <c r="G492" s="202"/>
      <c r="H492" s="202"/>
      <c r="I492" s="202"/>
      <c r="J492" s="202"/>
      <c r="K492" s="202"/>
      <c r="L492" s="202"/>
      <c r="M492" s="202"/>
      <c r="N492" s="200"/>
      <c r="O492" s="199"/>
      <c r="P492" s="202"/>
      <c r="Q492" s="202"/>
      <c r="R492" s="202"/>
      <c r="S492" s="202"/>
      <c r="T492" s="202"/>
      <c r="U492" s="202"/>
      <c r="V492" s="202"/>
      <c r="W492" s="202"/>
      <c r="X492" s="202"/>
      <c r="Y492" s="202"/>
      <c r="Z492" s="202"/>
      <c r="AA492" s="202"/>
      <c r="AB492" s="203"/>
    </row>
    <row r="493" spans="1:28" ht="30" customHeight="1">
      <c r="A493" s="210" t="s">
        <v>1148</v>
      </c>
      <c r="B493" s="399" t="s">
        <v>3158</v>
      </c>
      <c r="C493" s="399"/>
      <c r="D493" s="399"/>
      <c r="E493" s="399"/>
      <c r="F493" s="399"/>
      <c r="G493" s="399"/>
      <c r="H493" s="399"/>
      <c r="I493" s="399"/>
      <c r="J493" s="399"/>
      <c r="K493" s="399"/>
      <c r="L493" s="399"/>
      <c r="M493" s="399"/>
      <c r="N493" s="211" t="s">
        <v>1149</v>
      </c>
      <c r="O493" s="210"/>
      <c r="P493" s="887"/>
      <c r="Q493" s="198"/>
      <c r="R493" s="198"/>
      <c r="S493" s="198"/>
      <c r="T493" s="198"/>
      <c r="U493" s="198"/>
      <c r="V493" s="198"/>
      <c r="W493" s="198"/>
      <c r="X493" s="198"/>
      <c r="Y493" s="198"/>
      <c r="Z493" s="198"/>
      <c r="AA493" s="198"/>
      <c r="AB493" s="211" t="s">
        <v>1149</v>
      </c>
    </row>
    <row r="494" spans="1:28" ht="10.050000000000001" customHeight="1">
      <c r="A494" s="199"/>
      <c r="B494" s="24"/>
      <c r="C494" s="24"/>
      <c r="D494" s="24"/>
      <c r="E494" s="24"/>
      <c r="F494" s="24"/>
      <c r="G494" s="24"/>
      <c r="H494" s="24"/>
      <c r="I494" s="24"/>
      <c r="J494" s="24"/>
      <c r="K494" s="24"/>
      <c r="L494" s="24"/>
      <c r="M494" s="24"/>
      <c r="N494" s="200"/>
      <c r="O494" s="199"/>
      <c r="P494" s="24"/>
      <c r="Q494" s="24"/>
      <c r="R494" s="24"/>
      <c r="S494" s="24"/>
      <c r="T494" s="24"/>
      <c r="U494" s="24"/>
      <c r="V494" s="24"/>
      <c r="W494" s="24"/>
      <c r="X494" s="24"/>
      <c r="Y494" s="24"/>
      <c r="Z494" s="24"/>
      <c r="AA494" s="24"/>
      <c r="AB494" s="200"/>
    </row>
    <row r="495" spans="1:28" ht="19.95" customHeight="1">
      <c r="A495" s="199"/>
      <c r="B495" s="690" t="s">
        <v>2553</v>
      </c>
      <c r="C495" s="397"/>
      <c r="D495" s="397"/>
      <c r="E495" s="397"/>
      <c r="F495" s="397"/>
      <c r="G495" s="397"/>
      <c r="H495" s="397"/>
      <c r="I495" s="397"/>
      <c r="J495" s="397"/>
      <c r="K495" s="397"/>
      <c r="L495" s="397"/>
      <c r="M495" s="397"/>
      <c r="N495" s="200"/>
      <c r="O495" s="199"/>
      <c r="P495" s="602"/>
      <c r="Q495" s="24"/>
      <c r="R495" s="24"/>
      <c r="S495" s="24"/>
      <c r="T495" s="24"/>
      <c r="U495" s="24"/>
      <c r="V495" s="24"/>
      <c r="W495" s="24"/>
      <c r="X495" s="24"/>
      <c r="Y495" s="24"/>
      <c r="Z495" s="24"/>
      <c r="AA495" s="24"/>
      <c r="AB495" s="200"/>
    </row>
    <row r="496" spans="1:28" ht="10.050000000000001" customHeight="1">
      <c r="A496" s="199"/>
      <c r="B496" s="397"/>
      <c r="C496" s="397"/>
      <c r="D496" s="397"/>
      <c r="E496" s="397"/>
      <c r="F496" s="397"/>
      <c r="G496" s="397"/>
      <c r="H496" s="397"/>
      <c r="I496" s="397"/>
      <c r="J496" s="397"/>
      <c r="K496" s="397"/>
      <c r="L496" s="397"/>
      <c r="M496" s="397"/>
      <c r="N496" s="200"/>
      <c r="O496" s="199"/>
      <c r="P496" s="24"/>
      <c r="Q496" s="24"/>
      <c r="R496" s="24"/>
      <c r="S496" s="24"/>
      <c r="T496" s="24"/>
      <c r="U496" s="24"/>
      <c r="V496" s="24"/>
      <c r="W496" s="24"/>
      <c r="X496" s="24"/>
      <c r="Y496" s="24"/>
      <c r="Z496" s="24"/>
      <c r="AA496" s="24"/>
      <c r="AB496" s="200"/>
    </row>
    <row r="497" spans="1:28" ht="19.95" customHeight="1">
      <c r="A497" s="199"/>
      <c r="B497" s="601"/>
      <c r="C497" s="601"/>
      <c r="D497" s="601"/>
      <c r="E497" s="601"/>
      <c r="F497" s="601"/>
      <c r="G497" s="601"/>
      <c r="H497" s="601"/>
      <c r="I497" s="601"/>
      <c r="J497" s="601"/>
      <c r="K497" s="601"/>
      <c r="L497" s="601"/>
      <c r="M497" s="601"/>
      <c r="N497" s="200"/>
      <c r="O497" s="199"/>
      <c r="P497" s="24"/>
      <c r="Q497" s="24"/>
      <c r="R497" s="24"/>
      <c r="S497" s="24"/>
      <c r="T497" s="24"/>
      <c r="U497" s="24"/>
      <c r="V497" s="24"/>
      <c r="W497" s="24"/>
      <c r="X497" s="24"/>
      <c r="Y497" s="24"/>
      <c r="Z497" s="24"/>
      <c r="AA497" s="24"/>
      <c r="AB497" s="200"/>
    </row>
    <row r="498" spans="1:28" ht="19.95" customHeight="1">
      <c r="A498" s="199"/>
      <c r="B498" s="601"/>
      <c r="C498" s="601"/>
      <c r="D498" s="601"/>
      <c r="E498" s="601"/>
      <c r="F498" s="601"/>
      <c r="G498" s="601"/>
      <c r="H498" s="601"/>
      <c r="I498" s="601"/>
      <c r="J498" s="601"/>
      <c r="K498" s="601"/>
      <c r="L498" s="601"/>
      <c r="M498" s="601"/>
      <c r="N498" s="200"/>
      <c r="O498" s="199"/>
      <c r="P498" s="24"/>
      <c r="Q498" s="24"/>
      <c r="R498" s="24"/>
      <c r="S498" s="24"/>
      <c r="T498" s="24"/>
      <c r="U498" s="24"/>
      <c r="V498" s="24"/>
      <c r="W498" s="24"/>
      <c r="X498" s="24"/>
      <c r="Y498" s="24"/>
      <c r="Z498" s="24"/>
      <c r="AA498" s="24"/>
      <c r="AB498" s="200"/>
    </row>
    <row r="499" spans="1:28" ht="19.95" customHeight="1">
      <c r="A499" s="199"/>
      <c r="B499" s="601"/>
      <c r="C499" s="601"/>
      <c r="D499" s="601"/>
      <c r="E499" s="601"/>
      <c r="F499" s="601"/>
      <c r="G499" s="601"/>
      <c r="H499" s="601"/>
      <c r="I499" s="601"/>
      <c r="J499" s="601"/>
      <c r="K499" s="601"/>
      <c r="L499" s="601"/>
      <c r="M499" s="601"/>
      <c r="N499" s="200"/>
      <c r="O499" s="199"/>
      <c r="P499" s="24"/>
      <c r="Q499" s="24"/>
      <c r="R499" s="24"/>
      <c r="S499" s="24"/>
      <c r="T499" s="24"/>
      <c r="U499" s="24"/>
      <c r="V499" s="24"/>
      <c r="W499" s="24"/>
      <c r="X499" s="24"/>
      <c r="Y499" s="24"/>
      <c r="Z499" s="24"/>
      <c r="AA499" s="24"/>
      <c r="AB499" s="200"/>
    </row>
    <row r="500" spans="1:28" ht="19.95" customHeight="1">
      <c r="A500" s="199"/>
      <c r="B500" s="601"/>
      <c r="C500" s="601"/>
      <c r="D500" s="601"/>
      <c r="E500" s="601"/>
      <c r="F500" s="601"/>
      <c r="G500" s="601"/>
      <c r="H500" s="601"/>
      <c r="I500" s="601"/>
      <c r="J500" s="601"/>
      <c r="K500" s="601"/>
      <c r="L500" s="601"/>
      <c r="M500" s="601"/>
      <c r="N500" s="200"/>
      <c r="O500" s="199"/>
      <c r="P500" s="24"/>
      <c r="Q500" s="24"/>
      <c r="R500" s="24"/>
      <c r="S500" s="24"/>
      <c r="T500" s="24"/>
      <c r="U500" s="24"/>
      <c r="V500" s="24"/>
      <c r="W500" s="24"/>
      <c r="X500" s="24"/>
      <c r="Y500" s="24"/>
      <c r="Z500" s="24"/>
      <c r="AA500" s="24"/>
      <c r="AB500" s="200"/>
    </row>
    <row r="501" spans="1:28" ht="4.95" customHeight="1">
      <c r="A501" s="199"/>
      <c r="B501" s="24"/>
      <c r="C501" s="24"/>
      <c r="D501" s="24"/>
      <c r="E501" s="24"/>
      <c r="F501" s="24"/>
      <c r="G501" s="24"/>
      <c r="H501" s="24"/>
      <c r="I501" s="24"/>
      <c r="J501" s="24"/>
      <c r="K501" s="24"/>
      <c r="L501" s="24"/>
      <c r="M501" s="24"/>
      <c r="N501" s="200"/>
      <c r="O501" s="199"/>
      <c r="P501" s="24"/>
      <c r="Q501" s="24"/>
      <c r="R501" s="24"/>
      <c r="S501" s="24"/>
      <c r="T501" s="24"/>
      <c r="U501" s="24"/>
      <c r="V501" s="24"/>
      <c r="W501" s="24"/>
      <c r="X501" s="24"/>
      <c r="Y501" s="24"/>
      <c r="Z501" s="24"/>
      <c r="AA501" s="24"/>
      <c r="AB501" s="200"/>
    </row>
    <row r="502" spans="1:28" ht="19.95" customHeight="1">
      <c r="A502" s="199"/>
      <c r="B502" s="601"/>
      <c r="C502" s="601"/>
      <c r="D502" s="601"/>
      <c r="E502" s="601"/>
      <c r="F502" s="601"/>
      <c r="G502" s="601"/>
      <c r="H502" s="601"/>
      <c r="I502" s="601"/>
      <c r="J502" s="601"/>
      <c r="K502" s="601"/>
      <c r="L502" s="601"/>
      <c r="M502" s="601"/>
      <c r="N502" s="200"/>
      <c r="O502" s="199"/>
      <c r="P502" s="24"/>
      <c r="Q502" s="24"/>
      <c r="R502" s="24"/>
      <c r="S502" s="24"/>
      <c r="T502" s="24"/>
      <c r="U502" s="24"/>
      <c r="V502" s="24"/>
      <c r="W502" s="24"/>
      <c r="X502" s="24"/>
      <c r="Y502" s="24"/>
      <c r="Z502" s="24"/>
      <c r="AA502" s="24"/>
      <c r="AB502" s="200"/>
    </row>
    <row r="503" spans="1:28" ht="19.95" customHeight="1">
      <c r="A503" s="199"/>
      <c r="B503" s="601"/>
      <c r="C503" s="601"/>
      <c r="D503" s="601"/>
      <c r="E503" s="601"/>
      <c r="F503" s="601"/>
      <c r="G503" s="601"/>
      <c r="H503" s="601"/>
      <c r="I503" s="601"/>
      <c r="J503" s="601"/>
      <c r="K503" s="601"/>
      <c r="L503" s="601"/>
      <c r="M503" s="601"/>
      <c r="N503" s="200"/>
      <c r="O503" s="199"/>
      <c r="P503" s="24"/>
      <c r="Q503" s="24"/>
      <c r="R503" s="24"/>
      <c r="S503" s="24"/>
      <c r="T503" s="24"/>
      <c r="U503" s="24"/>
      <c r="V503" s="24"/>
      <c r="W503" s="24"/>
      <c r="X503" s="24"/>
      <c r="Y503" s="24"/>
      <c r="Z503" s="24"/>
      <c r="AA503" s="24"/>
      <c r="AB503" s="200"/>
    </row>
    <row r="504" spans="1:28" ht="19.95" customHeight="1">
      <c r="A504" s="199"/>
      <c r="B504" s="601"/>
      <c r="C504" s="601"/>
      <c r="D504" s="601"/>
      <c r="E504" s="601"/>
      <c r="F504" s="601"/>
      <c r="G504" s="601"/>
      <c r="H504" s="601"/>
      <c r="I504" s="601"/>
      <c r="J504" s="601"/>
      <c r="K504" s="601"/>
      <c r="L504" s="601"/>
      <c r="M504" s="601"/>
      <c r="N504" s="200"/>
      <c r="O504" s="199"/>
      <c r="P504" s="24"/>
      <c r="Q504" s="24"/>
      <c r="R504" s="24"/>
      <c r="S504" s="24"/>
      <c r="T504" s="24"/>
      <c r="U504" s="24"/>
      <c r="V504" s="24"/>
      <c r="W504" s="24"/>
      <c r="X504" s="24"/>
      <c r="Y504" s="24"/>
      <c r="Z504" s="24"/>
      <c r="AA504" s="24"/>
      <c r="AB504" s="200"/>
    </row>
    <row r="505" spans="1:28" ht="19.95" customHeight="1">
      <c r="A505" s="199"/>
      <c r="B505" s="601"/>
      <c r="C505" s="601"/>
      <c r="D505" s="601"/>
      <c r="E505" s="601"/>
      <c r="F505" s="601"/>
      <c r="G505" s="601"/>
      <c r="H505" s="601"/>
      <c r="I505" s="601"/>
      <c r="J505" s="601"/>
      <c r="K505" s="601"/>
      <c r="L505" s="601"/>
      <c r="M505" s="601"/>
      <c r="N505" s="200"/>
      <c r="O505" s="199"/>
      <c r="P505" s="24"/>
      <c r="Q505" s="24"/>
      <c r="R505" s="24"/>
      <c r="S505" s="24"/>
      <c r="T505" s="24"/>
      <c r="U505" s="24"/>
      <c r="V505" s="24"/>
      <c r="W505" s="24"/>
      <c r="X505" s="24"/>
      <c r="Y505" s="24"/>
      <c r="Z505" s="24"/>
      <c r="AA505" s="24"/>
      <c r="AB505" s="200"/>
    </row>
    <row r="506" spans="1:28" ht="19.95" customHeight="1">
      <c r="A506" s="199"/>
      <c r="B506" s="601"/>
      <c r="C506" s="601"/>
      <c r="D506" s="601"/>
      <c r="E506" s="601"/>
      <c r="F506" s="601"/>
      <c r="G506" s="601"/>
      <c r="H506" s="601"/>
      <c r="I506" s="601"/>
      <c r="J506" s="601"/>
      <c r="K506" s="601"/>
      <c r="L506" s="601"/>
      <c r="M506" s="601"/>
      <c r="N506" s="200"/>
      <c r="O506" s="199"/>
      <c r="P506" s="24"/>
      <c r="Q506" s="24"/>
      <c r="R506" s="24"/>
      <c r="S506" s="24"/>
      <c r="T506" s="24"/>
      <c r="U506" s="24"/>
      <c r="V506" s="24"/>
      <c r="W506" s="24"/>
      <c r="X506" s="24"/>
      <c r="Y506" s="24"/>
      <c r="Z506" s="24"/>
      <c r="AA506" s="24"/>
      <c r="AB506" s="200"/>
    </row>
    <row r="507" spans="1:28" ht="19.95" customHeight="1">
      <c r="A507" s="199"/>
      <c r="B507" s="601"/>
      <c r="C507" s="601"/>
      <c r="D507" s="601"/>
      <c r="E507" s="601"/>
      <c r="F507" s="601"/>
      <c r="G507" s="601"/>
      <c r="H507" s="601"/>
      <c r="I507" s="601"/>
      <c r="J507" s="601"/>
      <c r="K507" s="601"/>
      <c r="L507" s="601"/>
      <c r="M507" s="601"/>
      <c r="N507" s="200"/>
      <c r="O507" s="199"/>
      <c r="P507" s="24"/>
      <c r="Q507" s="24"/>
      <c r="R507" s="24"/>
      <c r="S507" s="24"/>
      <c r="T507" s="24"/>
      <c r="U507" s="24"/>
      <c r="V507" s="24"/>
      <c r="W507" s="24"/>
      <c r="X507" s="24"/>
      <c r="Y507" s="24"/>
      <c r="Z507" s="24"/>
      <c r="AA507" s="24"/>
      <c r="AB507" s="200"/>
    </row>
    <row r="508" spans="1:28" ht="4.95" customHeight="1">
      <c r="A508" s="199"/>
      <c r="B508" s="24"/>
      <c r="C508" s="24"/>
      <c r="D508" s="24"/>
      <c r="E508" s="24"/>
      <c r="F508" s="24"/>
      <c r="G508" s="24"/>
      <c r="H508" s="24"/>
      <c r="I508" s="24"/>
      <c r="J508" s="24"/>
      <c r="K508" s="24"/>
      <c r="L508" s="24"/>
      <c r="M508" s="24"/>
      <c r="N508" s="200"/>
      <c r="O508" s="199"/>
      <c r="P508" s="24"/>
      <c r="Q508" s="24"/>
      <c r="R508" s="24"/>
      <c r="S508" s="24"/>
      <c r="T508" s="24"/>
      <c r="U508" s="24"/>
      <c r="V508" s="24"/>
      <c r="W508" s="24"/>
      <c r="X508" s="24"/>
      <c r="Y508" s="24"/>
      <c r="Z508" s="24"/>
      <c r="AA508" s="24"/>
      <c r="AB508" s="200"/>
    </row>
    <row r="509" spans="1:28" ht="19.95" customHeight="1">
      <c r="A509" s="199"/>
      <c r="B509" s="601"/>
      <c r="C509" s="601"/>
      <c r="D509" s="601"/>
      <c r="E509" s="601"/>
      <c r="F509" s="601"/>
      <c r="G509" s="601"/>
      <c r="H509" s="601"/>
      <c r="I509" s="601"/>
      <c r="J509" s="601"/>
      <c r="K509" s="601"/>
      <c r="L509" s="601"/>
      <c r="M509" s="601"/>
      <c r="N509" s="200"/>
      <c r="O509" s="199"/>
      <c r="P509" s="24"/>
      <c r="Q509" s="24"/>
      <c r="R509" s="24"/>
      <c r="S509" s="24"/>
      <c r="T509" s="24"/>
      <c r="U509" s="24"/>
      <c r="V509" s="24"/>
      <c r="W509" s="24"/>
      <c r="X509" s="24"/>
      <c r="Y509" s="24"/>
      <c r="Z509" s="24"/>
      <c r="AA509" s="24"/>
      <c r="AB509" s="200"/>
    </row>
    <row r="510" spans="1:28" ht="19.95" customHeight="1">
      <c r="A510" s="199"/>
      <c r="B510" s="601"/>
      <c r="C510" s="601"/>
      <c r="D510" s="601"/>
      <c r="E510" s="601"/>
      <c r="F510" s="601"/>
      <c r="G510" s="601"/>
      <c r="H510" s="601"/>
      <c r="I510" s="601"/>
      <c r="J510" s="601"/>
      <c r="K510" s="601"/>
      <c r="L510" s="601"/>
      <c r="M510" s="601"/>
      <c r="N510" s="200"/>
      <c r="O510" s="199"/>
      <c r="P510" s="24"/>
      <c r="Q510" s="24"/>
      <c r="R510" s="24"/>
      <c r="S510" s="24"/>
      <c r="T510" s="24"/>
      <c r="U510" s="24"/>
      <c r="V510" s="24"/>
      <c r="W510" s="24"/>
      <c r="X510" s="24"/>
      <c r="Y510" s="24"/>
      <c r="Z510" s="24"/>
      <c r="AA510" s="24"/>
      <c r="AB510" s="200"/>
    </row>
    <row r="511" spans="1:28" ht="19.95" customHeight="1">
      <c r="A511" s="199"/>
      <c r="B511" s="601"/>
      <c r="C511" s="601"/>
      <c r="D511" s="601"/>
      <c r="E511" s="601"/>
      <c r="F511" s="601"/>
      <c r="G511" s="601"/>
      <c r="H511" s="601"/>
      <c r="I511" s="601"/>
      <c r="J511" s="601"/>
      <c r="K511" s="601"/>
      <c r="L511" s="601"/>
      <c r="M511" s="601"/>
      <c r="N511" s="200"/>
      <c r="O511" s="199"/>
      <c r="P511" s="24"/>
      <c r="Q511" s="24"/>
      <c r="R511" s="24"/>
      <c r="S511" s="24"/>
      <c r="T511" s="24"/>
      <c r="U511" s="24"/>
      <c r="V511" s="24"/>
      <c r="W511" s="24"/>
      <c r="X511" s="24"/>
      <c r="Y511" s="24"/>
      <c r="Z511" s="24"/>
      <c r="AA511" s="24"/>
      <c r="AB511" s="200"/>
    </row>
    <row r="512" spans="1:28" ht="19.95" customHeight="1">
      <c r="A512" s="199"/>
      <c r="B512" s="601"/>
      <c r="C512" s="601"/>
      <c r="D512" s="601"/>
      <c r="E512" s="601"/>
      <c r="F512" s="601"/>
      <c r="G512" s="601"/>
      <c r="H512" s="601"/>
      <c r="I512" s="601"/>
      <c r="J512" s="601"/>
      <c r="K512" s="601"/>
      <c r="L512" s="601"/>
      <c r="M512" s="601"/>
      <c r="N512" s="200"/>
      <c r="O512" s="199"/>
      <c r="P512" s="24"/>
      <c r="Q512" s="24"/>
      <c r="R512" s="24"/>
      <c r="S512" s="24"/>
      <c r="T512" s="24"/>
      <c r="U512" s="24"/>
      <c r="V512" s="24"/>
      <c r="W512" s="24"/>
      <c r="X512" s="24"/>
      <c r="Y512" s="24"/>
      <c r="Z512" s="24"/>
      <c r="AA512" s="24"/>
      <c r="AB512" s="200"/>
    </row>
    <row r="513" spans="1:28" ht="19.95" customHeight="1">
      <c r="A513" s="199"/>
      <c r="B513" s="601"/>
      <c r="C513" s="601"/>
      <c r="D513" s="601"/>
      <c r="E513" s="601"/>
      <c r="F513" s="601"/>
      <c r="G513" s="601"/>
      <c r="H513" s="601"/>
      <c r="I513" s="601"/>
      <c r="J513" s="601"/>
      <c r="K513" s="601"/>
      <c r="L513" s="601"/>
      <c r="M513" s="601"/>
      <c r="N513" s="200"/>
      <c r="O513" s="199"/>
      <c r="P513" s="24"/>
      <c r="Q513" s="24"/>
      <c r="R513" s="24"/>
      <c r="S513" s="24"/>
      <c r="T513" s="24"/>
      <c r="U513" s="24"/>
      <c r="V513" s="24"/>
      <c r="W513" s="24"/>
      <c r="X513" s="24"/>
      <c r="Y513" s="24"/>
      <c r="Z513" s="24"/>
      <c r="AA513" s="24"/>
      <c r="AB513" s="200"/>
    </row>
    <row r="514" spans="1:28" ht="19.95" customHeight="1">
      <c r="A514" s="199"/>
      <c r="B514" s="601"/>
      <c r="C514" s="601"/>
      <c r="D514" s="601"/>
      <c r="E514" s="601"/>
      <c r="F514" s="601"/>
      <c r="G514" s="601"/>
      <c r="H514" s="601"/>
      <c r="I514" s="601"/>
      <c r="J514" s="601"/>
      <c r="K514" s="601"/>
      <c r="L514" s="601"/>
      <c r="M514" s="601"/>
      <c r="N514" s="200"/>
      <c r="O514" s="199"/>
      <c r="P514" s="24"/>
      <c r="Q514" s="24"/>
      <c r="R514" s="24"/>
      <c r="S514" s="24"/>
      <c r="T514" s="24"/>
      <c r="U514" s="24"/>
      <c r="V514" s="24"/>
      <c r="W514" s="24"/>
      <c r="X514" s="24"/>
      <c r="Y514" s="24"/>
      <c r="Z514" s="24"/>
      <c r="AA514" s="24"/>
      <c r="AB514" s="200"/>
    </row>
    <row r="515" spans="1:28" ht="19.95" customHeight="1">
      <c r="A515" s="199"/>
      <c r="B515" s="601"/>
      <c r="C515" s="601"/>
      <c r="D515" s="601"/>
      <c r="E515" s="601"/>
      <c r="F515" s="601"/>
      <c r="G515" s="601"/>
      <c r="H515" s="601"/>
      <c r="I515" s="601"/>
      <c r="J515" s="601"/>
      <c r="K515" s="601"/>
      <c r="L515" s="601"/>
      <c r="M515" s="601"/>
      <c r="N515" s="200"/>
      <c r="O515" s="199"/>
      <c r="P515" s="24"/>
      <c r="Q515" s="24"/>
      <c r="R515" s="24"/>
      <c r="S515" s="24"/>
      <c r="T515" s="24"/>
      <c r="U515" s="24"/>
      <c r="V515" s="24"/>
      <c r="W515" s="24"/>
      <c r="X515" s="24"/>
      <c r="Y515" s="24"/>
      <c r="Z515" s="24"/>
      <c r="AA515" s="24"/>
      <c r="AB515" s="200"/>
    </row>
    <row r="516" spans="1:28" ht="19.95" customHeight="1">
      <c r="A516" s="199"/>
      <c r="B516" s="601"/>
      <c r="C516" s="601"/>
      <c r="D516" s="601"/>
      <c r="E516" s="601"/>
      <c r="F516" s="601"/>
      <c r="G516" s="601"/>
      <c r="H516" s="601"/>
      <c r="I516" s="601"/>
      <c r="J516" s="601"/>
      <c r="K516" s="601"/>
      <c r="L516" s="601"/>
      <c r="M516" s="601"/>
      <c r="N516" s="200"/>
      <c r="O516" s="199"/>
      <c r="P516" s="24"/>
      <c r="Q516" s="24"/>
      <c r="R516" s="24"/>
      <c r="S516" s="24"/>
      <c r="T516" s="24"/>
      <c r="U516" s="24"/>
      <c r="V516" s="24"/>
      <c r="W516" s="24"/>
      <c r="X516" s="24"/>
      <c r="Y516" s="24"/>
      <c r="Z516" s="24"/>
      <c r="AA516" s="24"/>
      <c r="AB516" s="200"/>
    </row>
    <row r="517" spans="1:28" ht="19.95" customHeight="1">
      <c r="A517" s="199"/>
      <c r="B517" s="601"/>
      <c r="C517" s="601"/>
      <c r="D517" s="601"/>
      <c r="E517" s="601"/>
      <c r="F517" s="601"/>
      <c r="G517" s="601"/>
      <c r="H517" s="601"/>
      <c r="I517" s="601"/>
      <c r="J517" s="601"/>
      <c r="K517" s="601"/>
      <c r="L517" s="601"/>
      <c r="M517" s="601"/>
      <c r="N517" s="200"/>
      <c r="O517" s="199"/>
      <c r="P517" s="24"/>
      <c r="Q517" s="24"/>
      <c r="R517" s="24"/>
      <c r="S517" s="24"/>
      <c r="T517" s="24"/>
      <c r="U517" s="24"/>
      <c r="V517" s="24"/>
      <c r="W517" s="24"/>
      <c r="X517" s="24"/>
      <c r="Y517" s="24"/>
      <c r="Z517" s="24"/>
      <c r="AA517" s="24"/>
      <c r="AB517" s="200"/>
    </row>
    <row r="518" spans="1:28" ht="19.95" customHeight="1">
      <c r="A518" s="199"/>
      <c r="B518" s="601"/>
      <c r="C518" s="601"/>
      <c r="D518" s="601"/>
      <c r="E518" s="601"/>
      <c r="F518" s="601"/>
      <c r="G518" s="601"/>
      <c r="H518" s="601"/>
      <c r="I518" s="601"/>
      <c r="J518" s="601"/>
      <c r="K518" s="601"/>
      <c r="L518" s="601"/>
      <c r="M518" s="601"/>
      <c r="N518" s="200"/>
      <c r="O518" s="199"/>
      <c r="P518" s="24"/>
      <c r="Q518" s="24"/>
      <c r="R518" s="24"/>
      <c r="S518" s="24"/>
      <c r="T518" s="24"/>
      <c r="U518" s="24"/>
      <c r="V518" s="24"/>
      <c r="W518" s="24"/>
      <c r="X518" s="24"/>
      <c r="Y518" s="24"/>
      <c r="Z518" s="24"/>
      <c r="AA518" s="24"/>
      <c r="AB518" s="200"/>
    </row>
    <row r="519" spans="1:28" ht="19.95" customHeight="1">
      <c r="A519" s="199"/>
      <c r="B519" s="601"/>
      <c r="C519" s="601"/>
      <c r="D519" s="601"/>
      <c r="E519" s="601"/>
      <c r="F519" s="601"/>
      <c r="G519" s="601"/>
      <c r="H519" s="601"/>
      <c r="I519" s="601"/>
      <c r="J519" s="601"/>
      <c r="K519" s="601"/>
      <c r="L519" s="601"/>
      <c r="M519" s="601"/>
      <c r="N519" s="200"/>
      <c r="O519" s="199"/>
      <c r="P519" s="24"/>
      <c r="Q519" s="24"/>
      <c r="R519" s="24"/>
      <c r="S519" s="24"/>
      <c r="T519" s="24"/>
      <c r="U519" s="24"/>
      <c r="V519" s="24"/>
      <c r="W519" s="24"/>
      <c r="X519" s="24"/>
      <c r="Y519" s="24"/>
      <c r="Z519" s="24"/>
      <c r="AA519" s="24"/>
      <c r="AB519" s="200"/>
    </row>
    <row r="520" spans="1:28" ht="19.95" customHeight="1">
      <c r="A520" s="199"/>
      <c r="B520" s="601"/>
      <c r="C520" s="601"/>
      <c r="D520" s="601"/>
      <c r="E520" s="601"/>
      <c r="F520" s="601"/>
      <c r="G520" s="601"/>
      <c r="H520" s="601"/>
      <c r="I520" s="601"/>
      <c r="J520" s="601"/>
      <c r="K520" s="601"/>
      <c r="L520" s="601"/>
      <c r="M520" s="601"/>
      <c r="N520" s="200"/>
      <c r="O520" s="199"/>
      <c r="P520" s="24"/>
      <c r="Q520" s="24"/>
      <c r="R520" s="24"/>
      <c r="S520" s="24"/>
      <c r="T520" s="24"/>
      <c r="U520" s="24"/>
      <c r="V520" s="24"/>
      <c r="W520" s="24"/>
      <c r="X520" s="24"/>
      <c r="Y520" s="24"/>
      <c r="Z520" s="24"/>
      <c r="AA520" s="24"/>
      <c r="AB520" s="200"/>
    </row>
    <row r="521" spans="1:28" ht="19.95" customHeight="1">
      <c r="A521" s="199"/>
      <c r="B521" s="601"/>
      <c r="C521" s="601"/>
      <c r="D521" s="601"/>
      <c r="E521" s="601"/>
      <c r="F521" s="601"/>
      <c r="G521" s="601"/>
      <c r="H521" s="601"/>
      <c r="I521" s="601"/>
      <c r="J521" s="601"/>
      <c r="K521" s="601"/>
      <c r="L521" s="601"/>
      <c r="M521" s="601"/>
      <c r="N521" s="200"/>
      <c r="O521" s="199"/>
      <c r="P521" s="24"/>
      <c r="Q521" s="24"/>
      <c r="R521" s="24"/>
      <c r="S521" s="24"/>
      <c r="T521" s="24"/>
      <c r="U521" s="24"/>
      <c r="V521" s="24"/>
      <c r="W521" s="24"/>
      <c r="X521" s="24"/>
      <c r="Y521" s="24"/>
      <c r="Z521" s="24"/>
      <c r="AA521" s="24"/>
      <c r="AB521" s="200"/>
    </row>
    <row r="522" spans="1:28" ht="4.95" customHeight="1">
      <c r="A522" s="199"/>
      <c r="B522" s="24"/>
      <c r="C522" s="24"/>
      <c r="D522" s="24"/>
      <c r="E522" s="24"/>
      <c r="F522" s="24"/>
      <c r="G522" s="24"/>
      <c r="H522" s="24"/>
      <c r="I522" s="24"/>
      <c r="J522" s="24"/>
      <c r="K522" s="24"/>
      <c r="L522" s="24"/>
      <c r="M522" s="24"/>
      <c r="N522" s="200"/>
      <c r="O522" s="199"/>
      <c r="P522" s="24"/>
      <c r="Q522" s="24"/>
      <c r="R522" s="24"/>
      <c r="S522" s="24"/>
      <c r="T522" s="24"/>
      <c r="U522" s="24"/>
      <c r="V522" s="24"/>
      <c r="W522" s="24"/>
      <c r="X522" s="24"/>
      <c r="Y522" s="24"/>
      <c r="Z522" s="24"/>
      <c r="AA522" s="24"/>
      <c r="AB522" s="200"/>
    </row>
    <row r="523" spans="1:28" ht="19.95" customHeight="1">
      <c r="A523" s="199"/>
      <c r="B523" s="601"/>
      <c r="C523" s="601"/>
      <c r="D523" s="601"/>
      <c r="E523" s="601"/>
      <c r="F523" s="601"/>
      <c r="G523" s="601"/>
      <c r="H523" s="601"/>
      <c r="I523" s="601"/>
      <c r="J523" s="601"/>
      <c r="K523" s="601"/>
      <c r="L523" s="601"/>
      <c r="M523" s="601"/>
      <c r="N523" s="200"/>
      <c r="O523" s="199"/>
      <c r="P523" s="24"/>
      <c r="Q523" s="24"/>
      <c r="R523" s="24"/>
      <c r="S523" s="24"/>
      <c r="T523" s="24"/>
      <c r="U523" s="24"/>
      <c r="V523" s="24"/>
      <c r="W523" s="24"/>
      <c r="X523" s="24"/>
      <c r="Y523" s="24"/>
      <c r="Z523" s="24"/>
      <c r="AA523" s="24"/>
      <c r="AB523" s="200"/>
    </row>
    <row r="524" spans="1:28" ht="19.95" customHeight="1">
      <c r="A524" s="199"/>
      <c r="B524" s="601"/>
      <c r="C524" s="601"/>
      <c r="D524" s="601"/>
      <c r="E524" s="601"/>
      <c r="F524" s="601"/>
      <c r="G524" s="601"/>
      <c r="H524" s="601"/>
      <c r="I524" s="601"/>
      <c r="J524" s="601"/>
      <c r="K524" s="601"/>
      <c r="L524" s="601"/>
      <c r="M524" s="601"/>
      <c r="N524" s="200"/>
      <c r="O524" s="199"/>
      <c r="P524" s="24"/>
      <c r="Q524" s="24"/>
      <c r="R524" s="24"/>
      <c r="S524" s="24"/>
      <c r="T524" s="24"/>
      <c r="U524" s="24"/>
      <c r="V524" s="24"/>
      <c r="W524" s="24"/>
      <c r="X524" s="24"/>
      <c r="Y524" s="24"/>
      <c r="Z524" s="24"/>
      <c r="AA524" s="24"/>
      <c r="AB524" s="200"/>
    </row>
    <row r="525" spans="1:28" ht="19.95" customHeight="1">
      <c r="A525" s="199"/>
      <c r="B525" s="601"/>
      <c r="C525" s="601"/>
      <c r="D525" s="601"/>
      <c r="E525" s="601"/>
      <c r="F525" s="601"/>
      <c r="G525" s="601"/>
      <c r="H525" s="601"/>
      <c r="I525" s="601"/>
      <c r="J525" s="601"/>
      <c r="K525" s="601"/>
      <c r="L525" s="601"/>
      <c r="M525" s="601"/>
      <c r="N525" s="200"/>
      <c r="O525" s="199"/>
      <c r="P525" s="24"/>
      <c r="Q525" s="24"/>
      <c r="R525" s="24"/>
      <c r="S525" s="24"/>
      <c r="T525" s="24"/>
      <c r="U525" s="24"/>
      <c r="V525" s="24"/>
      <c r="W525" s="24"/>
      <c r="X525" s="24"/>
      <c r="Y525" s="24"/>
      <c r="Z525" s="24"/>
      <c r="AA525" s="24"/>
      <c r="AB525" s="200"/>
    </row>
    <row r="526" spans="1:28" ht="19.95" customHeight="1">
      <c r="A526" s="199"/>
      <c r="B526" s="601"/>
      <c r="C526" s="601"/>
      <c r="D526" s="601"/>
      <c r="E526" s="601"/>
      <c r="F526" s="601"/>
      <c r="G526" s="601"/>
      <c r="H526" s="601"/>
      <c r="I526" s="601"/>
      <c r="J526" s="601"/>
      <c r="K526" s="601"/>
      <c r="L526" s="601"/>
      <c r="M526" s="601"/>
      <c r="N526" s="200"/>
      <c r="O526" s="199"/>
      <c r="P526" s="24"/>
      <c r="Q526" s="24"/>
      <c r="R526" s="24"/>
      <c r="S526" s="24"/>
      <c r="T526" s="24"/>
      <c r="U526" s="24"/>
      <c r="V526" s="24"/>
      <c r="W526" s="24"/>
      <c r="X526" s="24"/>
      <c r="Y526" s="24"/>
      <c r="Z526" s="24"/>
      <c r="AA526" s="24"/>
      <c r="AB526" s="200"/>
    </row>
    <row r="527" spans="1:28" ht="19.95" customHeight="1">
      <c r="A527" s="199"/>
      <c r="B527" s="601"/>
      <c r="C527" s="601"/>
      <c r="D527" s="601"/>
      <c r="E527" s="601"/>
      <c r="F527" s="601"/>
      <c r="G527" s="601"/>
      <c r="H527" s="601"/>
      <c r="I527" s="601"/>
      <c r="J527" s="601"/>
      <c r="K527" s="601"/>
      <c r="L527" s="601"/>
      <c r="M527" s="601"/>
      <c r="N527" s="200"/>
      <c r="O527" s="199"/>
      <c r="P527" s="24"/>
      <c r="Q527" s="24"/>
      <c r="R527" s="24"/>
      <c r="S527" s="24"/>
      <c r="T527" s="24"/>
      <c r="U527" s="24"/>
      <c r="V527" s="24"/>
      <c r="W527" s="24"/>
      <c r="X527" s="24"/>
      <c r="Y527" s="24"/>
      <c r="Z527" s="24"/>
      <c r="AA527" s="24"/>
      <c r="AB527" s="200"/>
    </row>
    <row r="528" spans="1:28" ht="4.95" customHeight="1">
      <c r="A528" s="199"/>
      <c r="B528" s="24"/>
      <c r="C528" s="24"/>
      <c r="D528" s="24"/>
      <c r="E528" s="24"/>
      <c r="F528" s="24"/>
      <c r="G528" s="24"/>
      <c r="H528" s="24"/>
      <c r="I528" s="24"/>
      <c r="J528" s="24"/>
      <c r="K528" s="24"/>
      <c r="L528" s="24"/>
      <c r="M528" s="24"/>
      <c r="N528" s="200"/>
      <c r="O528" s="199"/>
      <c r="P528" s="24"/>
      <c r="Q528" s="24"/>
      <c r="R528" s="24"/>
      <c r="S528" s="24"/>
      <c r="T528" s="24"/>
      <c r="U528" s="24"/>
      <c r="V528" s="24"/>
      <c r="W528" s="24"/>
      <c r="X528" s="24"/>
      <c r="Y528" s="24"/>
      <c r="Z528" s="24"/>
      <c r="AA528" s="24"/>
      <c r="AB528" s="200"/>
    </row>
    <row r="529" spans="1:28" ht="13.8" customHeight="1">
      <c r="A529" s="201"/>
      <c r="B529" s="24"/>
      <c r="C529" s="24"/>
      <c r="D529" s="24"/>
      <c r="E529" s="24"/>
      <c r="F529" s="24"/>
      <c r="G529" s="24"/>
      <c r="H529" s="24"/>
      <c r="I529" s="24"/>
      <c r="J529" s="24"/>
      <c r="K529" s="24"/>
      <c r="L529" s="24"/>
      <c r="M529" s="24"/>
      <c r="N529" s="200"/>
      <c r="O529" s="199"/>
      <c r="P529" s="24"/>
      <c r="Q529" s="24"/>
      <c r="R529" s="24"/>
      <c r="S529" s="24"/>
      <c r="T529" s="24"/>
      <c r="U529" s="24"/>
      <c r="V529" s="24"/>
      <c r="W529" s="24"/>
      <c r="X529" s="24"/>
      <c r="Y529" s="24"/>
      <c r="Z529" s="24"/>
      <c r="AA529" s="24"/>
      <c r="AB529" s="203"/>
    </row>
    <row r="530" spans="1:28" ht="30" customHeight="1">
      <c r="A530" s="210" t="s">
        <v>1148</v>
      </c>
      <c r="B530" s="399" t="s">
        <v>2952</v>
      </c>
      <c r="C530" s="396"/>
      <c r="D530" s="396"/>
      <c r="E530" s="396"/>
      <c r="F530" s="396"/>
      <c r="G530" s="396"/>
      <c r="H530" s="396"/>
      <c r="I530" s="396"/>
      <c r="J530" s="396"/>
      <c r="K530" s="373"/>
      <c r="L530" s="373"/>
      <c r="M530" s="373"/>
      <c r="N530" s="211" t="s">
        <v>1149</v>
      </c>
      <c r="O530" s="372"/>
      <c r="P530" s="374"/>
      <c r="Q530" s="373"/>
      <c r="R530" s="373"/>
      <c r="S530" s="373"/>
      <c r="T530" s="373"/>
      <c r="U530" s="373"/>
      <c r="V530" s="373"/>
      <c r="W530" s="373"/>
      <c r="X530" s="373"/>
      <c r="Y530" s="373"/>
      <c r="Z530" s="373"/>
      <c r="AA530" s="373"/>
      <c r="AB530" s="211" t="s">
        <v>1149</v>
      </c>
    </row>
    <row r="531" spans="1:28" ht="10.050000000000001" customHeight="1">
      <c r="A531" s="199"/>
      <c r="B531" s="24"/>
      <c r="C531" s="24"/>
      <c r="D531" s="24"/>
      <c r="E531" s="24"/>
      <c r="F531" s="24"/>
      <c r="G531" s="24"/>
      <c r="H531" s="24"/>
      <c r="I531" s="24"/>
      <c r="J531" s="24"/>
      <c r="K531" s="24"/>
      <c r="L531" s="24"/>
      <c r="M531" s="24"/>
      <c r="N531" s="200"/>
      <c r="O531" s="199"/>
      <c r="P531" s="24"/>
      <c r="Q531" s="24"/>
      <c r="R531" s="24"/>
      <c r="S531" s="24"/>
      <c r="T531" s="24"/>
      <c r="U531" s="24"/>
      <c r="V531" s="24"/>
      <c r="W531" s="24"/>
      <c r="X531" s="24"/>
      <c r="Y531" s="24"/>
      <c r="Z531" s="24"/>
      <c r="AA531" s="24"/>
      <c r="AB531" s="200"/>
    </row>
    <row r="532" spans="1:28" ht="19.95" customHeight="1">
      <c r="A532" s="199"/>
      <c r="B532" s="394" t="s">
        <v>2673</v>
      </c>
      <c r="C532" s="24"/>
      <c r="D532" s="24"/>
      <c r="E532" s="24"/>
      <c r="F532" s="24"/>
      <c r="G532" s="24"/>
      <c r="H532" s="24"/>
      <c r="I532" s="24"/>
      <c r="J532" s="24"/>
      <c r="K532" s="24"/>
      <c r="L532" s="24"/>
      <c r="M532" s="24"/>
      <c r="N532" s="200"/>
      <c r="O532" s="199"/>
      <c r="P532" s="24"/>
      <c r="Q532" s="24"/>
      <c r="R532" s="398"/>
      <c r="S532" s="398"/>
      <c r="T532" s="398"/>
      <c r="U532" s="398"/>
      <c r="V532" s="398"/>
      <c r="W532" s="398"/>
      <c r="X532" s="398"/>
      <c r="Y532" s="398"/>
      <c r="Z532" s="398"/>
      <c r="AA532" s="398"/>
      <c r="AB532" s="200"/>
    </row>
    <row r="533" spans="1:28" ht="30" customHeight="1">
      <c r="A533" s="199"/>
      <c r="B533" s="393" t="s">
        <v>2618</v>
      </c>
      <c r="C533" s="393"/>
      <c r="D533" s="393"/>
      <c r="E533" s="393"/>
      <c r="F533" s="393"/>
      <c r="G533" s="393"/>
      <c r="H533" s="393"/>
      <c r="I533" s="393"/>
      <c r="J533" s="393"/>
      <c r="K533" s="393"/>
      <c r="L533" s="393"/>
      <c r="M533" s="393"/>
      <c r="N533" s="200"/>
      <c r="O533" s="199"/>
      <c r="P533" s="24"/>
      <c r="Q533" s="24"/>
      <c r="R533" s="398"/>
      <c r="S533" s="398"/>
      <c r="T533" s="398"/>
      <c r="U533" s="398"/>
      <c r="V533" s="398"/>
      <c r="W533" s="398"/>
      <c r="X533" s="398"/>
      <c r="Y533" s="398"/>
      <c r="Z533" s="398"/>
      <c r="AA533" s="398"/>
      <c r="AB533" s="200"/>
    </row>
    <row r="534" spans="1:28" ht="19.95" customHeight="1">
      <c r="A534" s="199"/>
      <c r="B534" s="601"/>
      <c r="C534" s="601"/>
      <c r="D534" s="601"/>
      <c r="E534" s="601"/>
      <c r="F534" s="601"/>
      <c r="G534" s="601"/>
      <c r="H534" s="601"/>
      <c r="I534" s="601"/>
      <c r="J534" s="601"/>
      <c r="K534" s="601"/>
      <c r="L534" s="601"/>
      <c r="M534" s="601"/>
      <c r="N534" s="200"/>
      <c r="O534" s="199"/>
      <c r="P534" s="24"/>
      <c r="Q534" s="24"/>
      <c r="R534" s="398"/>
      <c r="S534" s="398"/>
      <c r="T534" s="398"/>
      <c r="U534" s="398"/>
      <c r="V534" s="398"/>
      <c r="W534" s="398"/>
      <c r="X534" s="398"/>
      <c r="Y534" s="398"/>
      <c r="Z534" s="398"/>
      <c r="AA534" s="398"/>
      <c r="AB534" s="200"/>
    </row>
    <row r="535" spans="1:28" ht="19.95" customHeight="1">
      <c r="A535" s="199"/>
      <c r="B535" s="601"/>
      <c r="C535" s="601"/>
      <c r="D535" s="601"/>
      <c r="E535" s="601"/>
      <c r="F535" s="601"/>
      <c r="G535" s="601"/>
      <c r="H535" s="601"/>
      <c r="I535" s="601"/>
      <c r="J535" s="601"/>
      <c r="K535" s="601"/>
      <c r="L535" s="601"/>
      <c r="M535" s="601"/>
      <c r="N535" s="200"/>
      <c r="O535" s="199"/>
      <c r="P535" s="24"/>
      <c r="Q535" s="24"/>
      <c r="R535" s="398"/>
      <c r="S535" s="398"/>
      <c r="T535" s="398"/>
      <c r="U535" s="398"/>
      <c r="V535" s="398"/>
      <c r="W535" s="398"/>
      <c r="X535" s="398"/>
      <c r="Y535" s="398"/>
      <c r="Z535" s="398"/>
      <c r="AA535" s="398"/>
      <c r="AB535" s="200"/>
    </row>
    <row r="536" spans="1:28" ht="19.95" customHeight="1">
      <c r="A536" s="199"/>
      <c r="B536" s="601"/>
      <c r="C536" s="601"/>
      <c r="D536" s="601"/>
      <c r="E536" s="601"/>
      <c r="F536" s="601"/>
      <c r="G536" s="601"/>
      <c r="H536" s="601"/>
      <c r="I536" s="601"/>
      <c r="J536" s="601"/>
      <c r="K536" s="601"/>
      <c r="L536" s="601"/>
      <c r="M536" s="601"/>
      <c r="N536" s="200"/>
      <c r="O536" s="199"/>
      <c r="P536" s="24"/>
      <c r="Q536" s="24"/>
      <c r="R536" s="398"/>
      <c r="S536" s="398"/>
      <c r="T536" s="398"/>
      <c r="U536" s="398"/>
      <c r="V536" s="398"/>
      <c r="W536" s="398"/>
      <c r="X536" s="398"/>
      <c r="Y536" s="398"/>
      <c r="Z536" s="398"/>
      <c r="AA536" s="398"/>
      <c r="AB536" s="200"/>
    </row>
    <row r="537" spans="1:28" ht="19.95" customHeight="1">
      <c r="A537" s="199"/>
      <c r="B537" s="601"/>
      <c r="C537" s="601"/>
      <c r="D537" s="601"/>
      <c r="E537" s="601"/>
      <c r="F537" s="601"/>
      <c r="G537" s="601"/>
      <c r="H537" s="601"/>
      <c r="I537" s="601"/>
      <c r="J537" s="601"/>
      <c r="K537" s="601"/>
      <c r="L537" s="601"/>
      <c r="M537" s="601"/>
      <c r="N537" s="200"/>
      <c r="O537" s="199"/>
      <c r="P537" s="24"/>
      <c r="Q537" s="24"/>
      <c r="R537" s="398"/>
      <c r="S537" s="398"/>
      <c r="T537" s="398"/>
      <c r="U537" s="398"/>
      <c r="V537" s="398"/>
      <c r="W537" s="398"/>
      <c r="X537" s="398"/>
      <c r="Y537" s="398"/>
      <c r="Z537" s="398"/>
      <c r="AA537" s="398"/>
      <c r="AB537" s="200"/>
    </row>
    <row r="538" spans="1:28" ht="19.95" customHeight="1">
      <c r="A538" s="199"/>
      <c r="B538" s="601"/>
      <c r="C538" s="601"/>
      <c r="D538" s="601"/>
      <c r="E538" s="601"/>
      <c r="F538" s="601"/>
      <c r="G538" s="601"/>
      <c r="H538" s="601"/>
      <c r="I538" s="24"/>
      <c r="J538" s="24"/>
      <c r="K538" s="24"/>
      <c r="L538" s="24"/>
      <c r="M538" s="24"/>
      <c r="N538" s="200"/>
      <c r="O538" s="199"/>
      <c r="P538" s="24"/>
      <c r="Q538" s="24"/>
      <c r="R538" s="398"/>
      <c r="S538" s="398"/>
      <c r="T538" s="398"/>
      <c r="U538" s="398"/>
      <c r="V538" s="398"/>
      <c r="W538" s="398"/>
      <c r="X538" s="398"/>
      <c r="Y538" s="398"/>
      <c r="Z538" s="398"/>
      <c r="AA538" s="398"/>
      <c r="AB538" s="200"/>
    </row>
    <row r="539" spans="1:28" ht="19.95" customHeight="1">
      <c r="A539" s="199"/>
      <c r="B539" s="601"/>
      <c r="C539" s="601"/>
      <c r="D539" s="601"/>
      <c r="E539" s="601"/>
      <c r="F539" s="601"/>
      <c r="G539" s="601"/>
      <c r="H539" s="601"/>
      <c r="I539" s="601"/>
      <c r="J539" s="601"/>
      <c r="K539" s="601"/>
      <c r="L539" s="601"/>
      <c r="M539" s="601"/>
      <c r="N539" s="200"/>
      <c r="O539" s="199"/>
      <c r="P539" s="24"/>
      <c r="Q539" s="24"/>
      <c r="R539" s="398"/>
      <c r="S539" s="398"/>
      <c r="T539" s="398"/>
      <c r="U539" s="398"/>
      <c r="V539" s="398"/>
      <c r="W539" s="398"/>
      <c r="X539" s="398"/>
      <c r="Y539" s="398"/>
      <c r="Z539" s="398"/>
      <c r="AA539" s="398"/>
      <c r="AB539" s="200"/>
    </row>
    <row r="540" spans="1:28" ht="19.95" customHeight="1">
      <c r="A540" s="199"/>
      <c r="B540" s="601"/>
      <c r="C540" s="601"/>
      <c r="D540" s="601"/>
      <c r="E540" s="601"/>
      <c r="F540" s="601"/>
      <c r="G540" s="601"/>
      <c r="H540" s="601"/>
      <c r="I540" s="601"/>
      <c r="J540" s="601"/>
      <c r="K540" s="601"/>
      <c r="L540" s="601"/>
      <c r="M540" s="601"/>
      <c r="N540" s="200"/>
      <c r="O540" s="199"/>
      <c r="P540" s="24"/>
      <c r="Q540" s="24"/>
      <c r="R540" s="398"/>
      <c r="S540" s="398"/>
      <c r="T540" s="398"/>
      <c r="U540" s="398"/>
      <c r="V540" s="398"/>
      <c r="W540" s="398"/>
      <c r="X540" s="398"/>
      <c r="Y540" s="398"/>
      <c r="Z540" s="398"/>
      <c r="AA540" s="398"/>
      <c r="AB540" s="200"/>
    </row>
    <row r="541" spans="1:28" ht="19.95" customHeight="1">
      <c r="A541" s="199"/>
      <c r="B541" s="601"/>
      <c r="C541" s="601"/>
      <c r="D541" s="601"/>
      <c r="E541" s="601"/>
      <c r="F541" s="601"/>
      <c r="G541" s="601"/>
      <c r="H541" s="601"/>
      <c r="I541" s="601"/>
      <c r="J541" s="601"/>
      <c r="K541" s="601"/>
      <c r="L541" s="601"/>
      <c r="M541" s="601"/>
      <c r="N541" s="200"/>
      <c r="O541" s="199"/>
      <c r="P541" s="24"/>
      <c r="Q541" s="24"/>
      <c r="R541" s="398"/>
      <c r="S541" s="398"/>
      <c r="T541" s="398"/>
      <c r="U541" s="398"/>
      <c r="V541" s="398"/>
      <c r="W541" s="398"/>
      <c r="X541" s="398"/>
      <c r="Y541" s="398"/>
      <c r="Z541" s="398"/>
      <c r="AA541" s="398"/>
      <c r="AB541" s="200"/>
    </row>
    <row r="542" spans="1:28" ht="19.95" customHeight="1">
      <c r="A542" s="199"/>
      <c r="B542" s="601"/>
      <c r="C542" s="601"/>
      <c r="D542" s="601"/>
      <c r="E542" s="601"/>
      <c r="F542" s="601"/>
      <c r="G542" s="601"/>
      <c r="H542" s="601"/>
      <c r="I542" s="601"/>
      <c r="J542" s="601"/>
      <c r="K542" s="601"/>
      <c r="L542" s="601"/>
      <c r="M542" s="601"/>
      <c r="N542" s="200"/>
      <c r="O542" s="199"/>
      <c r="P542" s="601"/>
      <c r="Q542" s="24"/>
      <c r="R542" s="398"/>
      <c r="S542" s="398"/>
      <c r="T542" s="398"/>
      <c r="U542" s="398"/>
      <c r="V542" s="398"/>
      <c r="W542" s="398"/>
      <c r="X542" s="398"/>
      <c r="Y542" s="398"/>
      <c r="Z542" s="398"/>
      <c r="AA542" s="398"/>
      <c r="AB542" s="200"/>
    </row>
    <row r="543" spans="1:28" ht="19.95" customHeight="1">
      <c r="A543" s="199"/>
      <c r="B543" s="601"/>
      <c r="C543" s="601"/>
      <c r="D543" s="601"/>
      <c r="E543" s="601"/>
      <c r="F543" s="601"/>
      <c r="G543" s="601"/>
      <c r="H543" s="601"/>
      <c r="I543" s="601"/>
      <c r="J543" s="601"/>
      <c r="K543" s="601"/>
      <c r="L543" s="601"/>
      <c r="M543" s="601"/>
      <c r="N543" s="200"/>
      <c r="O543" s="199"/>
      <c r="P543" s="24"/>
      <c r="Q543" s="24"/>
      <c r="R543" s="398"/>
      <c r="S543" s="398"/>
      <c r="T543" s="398"/>
      <c r="U543" s="398"/>
      <c r="V543" s="398"/>
      <c r="W543" s="398"/>
      <c r="X543" s="398"/>
      <c r="Y543" s="398"/>
      <c r="Z543" s="398"/>
      <c r="AA543" s="398"/>
      <c r="AB543" s="200"/>
    </row>
    <row r="544" spans="1:28" ht="19.95" customHeight="1">
      <c r="A544" s="199"/>
      <c r="B544" s="601"/>
      <c r="C544" s="24"/>
      <c r="D544" s="24"/>
      <c r="E544" s="24"/>
      <c r="F544" s="24"/>
      <c r="G544" s="24"/>
      <c r="H544" s="24"/>
      <c r="I544" s="24"/>
      <c r="J544" s="24"/>
      <c r="K544" s="24"/>
      <c r="L544" s="24"/>
      <c r="M544" s="24"/>
      <c r="N544" s="200"/>
      <c r="O544" s="199"/>
      <c r="P544" s="24"/>
      <c r="Q544" s="24"/>
      <c r="R544" s="398"/>
      <c r="S544" s="398"/>
      <c r="T544" s="398"/>
      <c r="U544" s="398"/>
      <c r="V544" s="398"/>
      <c r="W544" s="398"/>
      <c r="X544" s="398"/>
      <c r="Y544" s="398"/>
      <c r="Z544" s="398"/>
      <c r="AA544" s="398"/>
      <c r="AB544" s="200"/>
    </row>
    <row r="545" spans="1:28" ht="19.95" customHeight="1">
      <c r="A545" s="199"/>
      <c r="B545" s="601"/>
      <c r="C545" s="601"/>
      <c r="D545" s="601"/>
      <c r="E545" s="601"/>
      <c r="F545" s="601"/>
      <c r="G545" s="601"/>
      <c r="H545" s="601"/>
      <c r="I545" s="601"/>
      <c r="J545" s="601"/>
      <c r="K545" s="601"/>
      <c r="L545" s="601"/>
      <c r="M545" s="601"/>
      <c r="N545" s="200"/>
      <c r="O545" s="199"/>
      <c r="P545" s="24"/>
      <c r="Q545" s="24"/>
      <c r="R545" s="398"/>
      <c r="S545" s="398"/>
      <c r="T545" s="398"/>
      <c r="U545" s="398"/>
      <c r="V545" s="398"/>
      <c r="W545" s="398"/>
      <c r="X545" s="398"/>
      <c r="Y545" s="398"/>
      <c r="Z545" s="398"/>
      <c r="AA545" s="398"/>
      <c r="AB545" s="200"/>
    </row>
    <row r="546" spans="1:28" ht="19.95" customHeight="1">
      <c r="A546" s="199"/>
      <c r="B546" s="601"/>
      <c r="C546" s="601"/>
      <c r="D546" s="601"/>
      <c r="E546" s="601"/>
      <c r="F546" s="601"/>
      <c r="G546" s="601"/>
      <c r="H546" s="601"/>
      <c r="I546" s="601"/>
      <c r="J546" s="601"/>
      <c r="K546" s="601"/>
      <c r="L546" s="601"/>
      <c r="M546" s="601"/>
      <c r="N546" s="200"/>
      <c r="O546" s="199"/>
      <c r="P546" s="24"/>
      <c r="Q546" s="24"/>
      <c r="R546" s="398"/>
      <c r="S546" s="398"/>
      <c r="T546" s="398"/>
      <c r="U546" s="398"/>
      <c r="V546" s="398"/>
      <c r="W546" s="398"/>
      <c r="X546" s="398"/>
      <c r="Y546" s="398"/>
      <c r="Z546" s="398"/>
      <c r="AA546" s="398"/>
      <c r="AB546" s="200"/>
    </row>
    <row r="547" spans="1:28" ht="19.95" customHeight="1">
      <c r="A547" s="199"/>
      <c r="B547" s="601"/>
      <c r="C547" s="601"/>
      <c r="D547" s="601"/>
      <c r="E547" s="601"/>
      <c r="F547" s="601"/>
      <c r="G547" s="601"/>
      <c r="H547" s="601"/>
      <c r="I547" s="601"/>
      <c r="J547" s="601"/>
      <c r="K547" s="601"/>
      <c r="L547" s="601"/>
      <c r="M547" s="601"/>
      <c r="N547" s="200"/>
      <c r="O547" s="199"/>
      <c r="P547" s="24"/>
      <c r="Q547" s="24"/>
      <c r="R547" s="398"/>
      <c r="S547" s="398"/>
      <c r="T547" s="398"/>
      <c r="U547" s="398"/>
      <c r="V547" s="398"/>
      <c r="W547" s="398"/>
      <c r="X547" s="398"/>
      <c r="Y547" s="398"/>
      <c r="Z547" s="398"/>
      <c r="AA547" s="398"/>
      <c r="AB547" s="200"/>
    </row>
    <row r="548" spans="1:28" ht="19.95" customHeight="1">
      <c r="A548" s="199"/>
      <c r="B548" s="659"/>
      <c r="C548" s="601"/>
      <c r="D548" s="601"/>
      <c r="E548" s="601"/>
      <c r="F548" s="601"/>
      <c r="G548" s="601"/>
      <c r="H548" s="601"/>
      <c r="I548" s="601"/>
      <c r="J548" s="601"/>
      <c r="K548" s="601"/>
      <c r="L548" s="601"/>
      <c r="M548" s="601"/>
      <c r="N548" s="200"/>
      <c r="O548" s="199"/>
      <c r="P548" s="24"/>
      <c r="Q548" s="24"/>
      <c r="R548" s="398"/>
      <c r="S548" s="398"/>
      <c r="T548" s="398"/>
      <c r="U548" s="398"/>
      <c r="V548" s="398"/>
      <c r="W548" s="398"/>
      <c r="X548" s="398"/>
      <c r="Y548" s="398"/>
      <c r="Z548" s="398"/>
      <c r="AA548" s="398"/>
      <c r="AB548" s="200"/>
    </row>
    <row r="549" spans="1:28" ht="19.95" customHeight="1">
      <c r="A549" s="199"/>
      <c r="B549" s="659"/>
      <c r="C549" s="601"/>
      <c r="D549" s="601"/>
      <c r="E549" s="601"/>
      <c r="F549" s="601"/>
      <c r="G549" s="601"/>
      <c r="H549" s="601"/>
      <c r="I549" s="601"/>
      <c r="J549" s="601"/>
      <c r="K549" s="601"/>
      <c r="L549" s="601"/>
      <c r="M549" s="601"/>
      <c r="N549" s="200"/>
      <c r="O549" s="199"/>
      <c r="P549" s="24"/>
      <c r="Q549" s="24"/>
      <c r="R549" s="398"/>
      <c r="S549" s="398"/>
      <c r="T549" s="398"/>
      <c r="U549" s="398"/>
      <c r="V549" s="398"/>
      <c r="W549" s="398"/>
      <c r="X549" s="398"/>
      <c r="Y549" s="398"/>
      <c r="Z549" s="398"/>
      <c r="AA549" s="398"/>
      <c r="AB549" s="200"/>
    </row>
    <row r="550" spans="1:28" ht="4.95" customHeight="1" thickBot="1">
      <c r="A550" s="199"/>
      <c r="B550" s="659"/>
      <c r="C550" s="601"/>
      <c r="D550" s="601"/>
      <c r="E550" s="601"/>
      <c r="F550" s="601"/>
      <c r="G550" s="601"/>
      <c r="H550" s="601"/>
      <c r="I550" s="601"/>
      <c r="J550" s="601"/>
      <c r="K550" s="601"/>
      <c r="L550" s="601"/>
      <c r="M550" s="601"/>
      <c r="N550" s="200"/>
      <c r="O550" s="199"/>
      <c r="P550" s="24"/>
      <c r="Q550" s="24"/>
      <c r="R550" s="398"/>
      <c r="S550" s="398"/>
      <c r="T550" s="398"/>
      <c r="U550" s="398"/>
      <c r="V550" s="398"/>
      <c r="W550" s="398"/>
      <c r="X550" s="398"/>
      <c r="Y550" s="398"/>
      <c r="Z550" s="398"/>
      <c r="AA550" s="398"/>
      <c r="AB550" s="200"/>
    </row>
    <row r="551" spans="1:28" ht="19.95" customHeight="1" thickBot="1">
      <c r="A551" s="199"/>
      <c r="B551" s="712" t="s">
        <v>2619</v>
      </c>
      <c r="C551" s="601"/>
      <c r="D551" s="601"/>
      <c r="E551" s="1382"/>
      <c r="F551" s="1383"/>
      <c r="G551" s="1383"/>
      <c r="H551" s="1383"/>
      <c r="I551" s="1383"/>
      <c r="J551" s="1383"/>
      <c r="K551" s="1383"/>
      <c r="L551" s="1383"/>
      <c r="M551" s="1384"/>
      <c r="N551" s="200"/>
      <c r="O551" s="199"/>
      <c r="P551" s="24"/>
      <c r="Q551" s="24"/>
      <c r="R551" s="398"/>
      <c r="S551" s="398"/>
      <c r="T551" s="398"/>
      <c r="U551" s="398"/>
      <c r="V551" s="398"/>
      <c r="W551" s="398"/>
      <c r="X551" s="398"/>
      <c r="Y551" s="398"/>
      <c r="Z551" s="398"/>
      <c r="AA551" s="398"/>
      <c r="AB551" s="200"/>
    </row>
    <row r="552" spans="1:28" ht="4.95" customHeight="1" thickBot="1">
      <c r="A552" s="199"/>
      <c r="B552" s="480"/>
      <c r="C552" s="391"/>
      <c r="D552" s="391"/>
      <c r="E552" s="391"/>
      <c r="F552" s="391"/>
      <c r="G552" s="391"/>
      <c r="H552" s="391"/>
      <c r="I552" s="391"/>
      <c r="J552" s="391"/>
      <c r="K552" s="391"/>
      <c r="L552" s="391"/>
      <c r="M552" s="391"/>
      <c r="N552" s="200"/>
      <c r="O552" s="199"/>
      <c r="P552" s="24"/>
      <c r="Q552" s="24"/>
      <c r="R552" s="398"/>
      <c r="S552" s="398"/>
      <c r="T552" s="398"/>
      <c r="U552" s="398"/>
      <c r="V552" s="398"/>
      <c r="W552" s="398"/>
      <c r="X552" s="398"/>
      <c r="Y552" s="398"/>
      <c r="Z552" s="398"/>
      <c r="AA552" s="24"/>
      <c r="AB552" s="200"/>
    </row>
    <row r="553" spans="1:28" ht="19.95" customHeight="1" thickBot="1">
      <c r="A553" s="199"/>
      <c r="B553" s="712" t="s">
        <v>2623</v>
      </c>
      <c r="C553" s="392"/>
      <c r="D553" s="392"/>
      <c r="E553" s="1382"/>
      <c r="F553" s="1383"/>
      <c r="G553" s="1383"/>
      <c r="H553" s="1383"/>
      <c r="I553" s="1383"/>
      <c r="J553" s="1383"/>
      <c r="K553" s="1383"/>
      <c r="L553" s="1383"/>
      <c r="M553" s="1384"/>
      <c r="N553" s="200"/>
      <c r="O553" s="199"/>
      <c r="P553" s="24"/>
      <c r="Q553" s="24"/>
      <c r="R553" s="398"/>
      <c r="S553" s="398"/>
      <c r="T553" s="398"/>
      <c r="U553" s="398"/>
      <c r="V553" s="398"/>
      <c r="W553" s="398"/>
      <c r="X553" s="398"/>
      <c r="Y553" s="398"/>
      <c r="Z553" s="398"/>
      <c r="AA553" s="398"/>
      <c r="AB553" s="200"/>
    </row>
    <row r="554" spans="1:28" ht="4.95" customHeight="1" thickBot="1">
      <c r="A554" s="199"/>
      <c r="B554" s="712"/>
      <c r="C554" s="392"/>
      <c r="D554" s="392"/>
      <c r="E554" s="392"/>
      <c r="F554" s="392"/>
      <c r="G554" s="392"/>
      <c r="H554" s="392"/>
      <c r="I554" s="392"/>
      <c r="J554" s="392"/>
      <c r="K554" s="392"/>
      <c r="L554" s="392"/>
      <c r="M554" s="392"/>
      <c r="N554" s="392"/>
      <c r="O554" s="199"/>
      <c r="P554" s="24"/>
      <c r="Q554" s="24"/>
      <c r="R554" s="398"/>
      <c r="S554" s="398"/>
      <c r="T554" s="398"/>
      <c r="U554" s="398"/>
      <c r="V554" s="398"/>
      <c r="W554" s="398"/>
      <c r="X554" s="398"/>
      <c r="Y554" s="398"/>
      <c r="Z554" s="398"/>
      <c r="AA554" s="398"/>
      <c r="AB554" s="200"/>
    </row>
    <row r="555" spans="1:28" ht="19.95" customHeight="1" thickBot="1">
      <c r="A555" s="199"/>
      <c r="B555" s="712" t="s">
        <v>2620</v>
      </c>
      <c r="C555" s="392"/>
      <c r="D555" s="392"/>
      <c r="E555" s="1382"/>
      <c r="F555" s="1383"/>
      <c r="G555" s="1383"/>
      <c r="H555" s="1383"/>
      <c r="I555" s="1383"/>
      <c r="J555" s="1383"/>
      <c r="K555" s="1383"/>
      <c r="L555" s="1383"/>
      <c r="M555" s="1384"/>
      <c r="N555" s="200"/>
      <c r="O555" s="199"/>
      <c r="P555" s="24"/>
      <c r="Q555" s="24"/>
      <c r="R555" s="398"/>
      <c r="S555" s="398"/>
      <c r="T555" s="398"/>
      <c r="U555" s="398"/>
      <c r="V555" s="398"/>
      <c r="W555" s="398"/>
      <c r="X555" s="398"/>
      <c r="Y555" s="398"/>
      <c r="Z555" s="398"/>
      <c r="AA555" s="398"/>
      <c r="AB555" s="200"/>
    </row>
    <row r="556" spans="1:28" ht="4.95" customHeight="1" thickBot="1">
      <c r="A556" s="199"/>
      <c r="B556" s="712"/>
      <c r="C556" s="392"/>
      <c r="D556" s="392"/>
      <c r="E556" s="392"/>
      <c r="F556" s="392"/>
      <c r="G556" s="392"/>
      <c r="H556" s="392"/>
      <c r="I556" s="392"/>
      <c r="J556" s="392"/>
      <c r="K556" s="392"/>
      <c r="L556" s="392"/>
      <c r="M556" s="392"/>
      <c r="N556" s="392"/>
      <c r="O556" s="199"/>
      <c r="P556" s="24"/>
      <c r="Q556" s="24"/>
      <c r="R556" s="398"/>
      <c r="S556" s="398"/>
      <c r="T556" s="398"/>
      <c r="U556" s="398"/>
      <c r="V556" s="398"/>
      <c r="W556" s="398"/>
      <c r="X556" s="398"/>
      <c r="Y556" s="398"/>
      <c r="Z556" s="398"/>
      <c r="AA556" s="398"/>
      <c r="AB556" s="200"/>
    </row>
    <row r="557" spans="1:28" ht="19.95" customHeight="1" thickBot="1">
      <c r="A557" s="199"/>
      <c r="B557" s="712" t="s">
        <v>2621</v>
      </c>
      <c r="C557" s="392"/>
      <c r="D557" s="392"/>
      <c r="E557" s="1382"/>
      <c r="F557" s="1383"/>
      <c r="G557" s="1383"/>
      <c r="H557" s="1383"/>
      <c r="I557" s="1383"/>
      <c r="J557" s="1383"/>
      <c r="K557" s="1383"/>
      <c r="L557" s="1383"/>
      <c r="M557" s="1384"/>
      <c r="N557" s="200"/>
      <c r="O557" s="199"/>
      <c r="P557" s="24"/>
      <c r="Q557" s="24"/>
      <c r="R557" s="398"/>
      <c r="S557" s="398"/>
      <c r="T557" s="398"/>
      <c r="U557" s="398"/>
      <c r="V557" s="398"/>
      <c r="W557" s="398"/>
      <c r="X557" s="398"/>
      <c r="Y557" s="398"/>
      <c r="Z557" s="398"/>
      <c r="AA557" s="398"/>
      <c r="AB557" s="200"/>
    </row>
    <row r="558" spans="1:28" ht="4.95" customHeight="1" thickBot="1">
      <c r="A558" s="199"/>
      <c r="B558" s="713"/>
      <c r="C558" s="24"/>
      <c r="D558" s="24"/>
      <c r="E558" s="24"/>
      <c r="F558" s="24"/>
      <c r="G558" s="24"/>
      <c r="H558" s="24"/>
      <c r="I558" s="24"/>
      <c r="J558" s="24"/>
      <c r="K558" s="24"/>
      <c r="L558" s="24"/>
      <c r="M558" s="24"/>
      <c r="N558" s="200"/>
      <c r="O558" s="199"/>
      <c r="P558" s="24"/>
      <c r="Q558" s="24"/>
      <c r="R558" s="398"/>
      <c r="S558" s="398"/>
      <c r="T558" s="398"/>
      <c r="U558" s="398"/>
      <c r="V558" s="398"/>
      <c r="W558" s="398"/>
      <c r="X558" s="398"/>
      <c r="Y558" s="398"/>
      <c r="Z558" s="398"/>
      <c r="AA558" s="398"/>
      <c r="AB558" s="200"/>
    </row>
    <row r="559" spans="1:28" ht="19.95" customHeight="1" thickBot="1">
      <c r="A559" s="199"/>
      <c r="B559" s="712" t="s">
        <v>2622</v>
      </c>
      <c r="C559" s="601"/>
      <c r="D559" s="601"/>
      <c r="E559" s="1382"/>
      <c r="F559" s="1383"/>
      <c r="G559" s="1383"/>
      <c r="H559" s="1383"/>
      <c r="I559" s="1383"/>
      <c r="J559" s="1383"/>
      <c r="K559" s="1383"/>
      <c r="L559" s="1383"/>
      <c r="M559" s="1384"/>
      <c r="N559" s="200"/>
      <c r="O559" s="199"/>
      <c r="P559" s="24"/>
      <c r="Q559" s="24"/>
      <c r="R559" s="398"/>
      <c r="S559" s="398"/>
      <c r="T559" s="398"/>
      <c r="U559" s="398"/>
      <c r="V559" s="398"/>
      <c r="W559" s="398"/>
      <c r="X559" s="398"/>
      <c r="Y559" s="398"/>
      <c r="Z559" s="398"/>
      <c r="AA559" s="398"/>
      <c r="AB559" s="200"/>
    </row>
    <row r="560" spans="1:28" ht="10.050000000000001" customHeight="1">
      <c r="A560" s="199"/>
      <c r="B560" s="601"/>
      <c r="C560" s="601"/>
      <c r="D560" s="601"/>
      <c r="E560" s="601"/>
      <c r="F560" s="601"/>
      <c r="G560" s="601"/>
      <c r="H560" s="601"/>
      <c r="I560" s="601"/>
      <c r="J560" s="601"/>
      <c r="K560" s="601"/>
      <c r="L560" s="601"/>
      <c r="M560" s="601"/>
      <c r="N560" s="200"/>
      <c r="O560" s="199"/>
      <c r="P560" s="24"/>
      <c r="Q560" s="24"/>
      <c r="R560" s="398"/>
      <c r="S560" s="398"/>
      <c r="T560" s="398"/>
      <c r="U560" s="398"/>
      <c r="V560" s="398"/>
      <c r="W560" s="398"/>
      <c r="X560" s="398"/>
      <c r="Y560" s="398"/>
      <c r="Z560" s="398"/>
      <c r="AA560" s="398"/>
      <c r="AB560" s="200"/>
    </row>
    <row r="561" spans="1:41" ht="19.95" customHeight="1">
      <c r="A561" s="199"/>
      <c r="B561" s="1277" t="str">
        <f>AI562</f>
        <v>Select the best response to these five items to estimate your readiness for this journey. A low score is not necessarily a bad score. Power relations crashing in on your life could dampen your full readiness. But that's what this journey is for.</v>
      </c>
      <c r="C561" s="1277"/>
      <c r="D561" s="1277"/>
      <c r="E561" s="1277"/>
      <c r="F561" s="1277"/>
      <c r="G561" s="1277"/>
      <c r="H561" s="1277"/>
      <c r="I561" s="1277"/>
      <c r="J561" s="1277"/>
      <c r="K561" s="1277"/>
      <c r="L561" s="1277"/>
      <c r="M561" s="1277"/>
      <c r="N561" s="200"/>
      <c r="O561" s="199"/>
      <c r="P561" s="393"/>
      <c r="Q561" s="24"/>
      <c r="R561" s="24"/>
      <c r="S561" s="24"/>
      <c r="T561" s="24"/>
      <c r="U561" s="24"/>
      <c r="V561" s="24"/>
      <c r="W561" s="24"/>
      <c r="X561" s="398"/>
      <c r="Y561" s="398"/>
      <c r="Z561" s="398"/>
      <c r="AA561" s="398"/>
      <c r="AB561" s="200"/>
      <c r="AI561" s="459" t="str">
        <f>CONCATENATE(AK561,AL561,AM561,AN561,AO561,AP561,AQ561,AR561)</f>
        <v xml:space="preserve">Your responses suggest . This is based on an average score between -1 and 1, and your responses put you at . Other qualifications may apply, and these could raise or lower your readiness score. </v>
      </c>
      <c r="AK561" s="409" t="s">
        <v>2669</v>
      </c>
      <c r="AL561" s="2" t="str">
        <f>$U$1334</f>
        <v/>
      </c>
      <c r="AM561" s="409" t="s">
        <v>2670</v>
      </c>
      <c r="AN561" s="138" t="str">
        <f>$U$1335</f>
        <v/>
      </c>
      <c r="AO561" s="409" t="s">
        <v>2672</v>
      </c>
    </row>
    <row r="562" spans="1:41" ht="19.95" customHeight="1">
      <c r="A562" s="199"/>
      <c r="B562" s="1277"/>
      <c r="C562" s="1277"/>
      <c r="D562" s="1277"/>
      <c r="E562" s="1277"/>
      <c r="F562" s="1277"/>
      <c r="G562" s="1277"/>
      <c r="H562" s="1277"/>
      <c r="I562" s="1277"/>
      <c r="J562" s="1277"/>
      <c r="K562" s="1277"/>
      <c r="L562" s="1277"/>
      <c r="M562" s="1277"/>
      <c r="N562" s="200"/>
      <c r="O562" s="199"/>
      <c r="P562" s="393"/>
      <c r="Q562" s="24"/>
      <c r="R562" s="24"/>
      <c r="S562" s="24"/>
      <c r="T562" s="24"/>
      <c r="U562" s="24"/>
      <c r="V562" s="24"/>
      <c r="W562" s="24"/>
      <c r="X562" s="398"/>
      <c r="Y562" s="398"/>
      <c r="Z562" s="398"/>
      <c r="AA562" s="398"/>
      <c r="AB562" s="200"/>
      <c r="AI562" s="2" t="str">
        <f>IF(U1334="",AK562,AI561)</f>
        <v>Select the best response to these five items to estimate your readiness for this journey. A low score is not necessarily a bad score. Power relations crashing in on your life could dampen your full readiness. But that's what this journey is for.</v>
      </c>
      <c r="AK562" s="2" t="s">
        <v>2671</v>
      </c>
    </row>
    <row r="563" spans="1:41" ht="19.95" customHeight="1">
      <c r="A563" s="199"/>
      <c r="B563" s="1277"/>
      <c r="C563" s="1277"/>
      <c r="D563" s="1277"/>
      <c r="E563" s="1277"/>
      <c r="F563" s="1277"/>
      <c r="G563" s="1277"/>
      <c r="H563" s="1277"/>
      <c r="I563" s="1277"/>
      <c r="J563" s="1277"/>
      <c r="K563" s="1277"/>
      <c r="L563" s="1277"/>
      <c r="M563" s="1277"/>
      <c r="N563" s="200"/>
      <c r="O563" s="199"/>
      <c r="P563" s="596"/>
      <c r="Q563" s="393"/>
      <c r="R563" s="24"/>
      <c r="S563" s="24"/>
      <c r="T563" s="470"/>
      <c r="U563" s="24"/>
      <c r="V563" s="24"/>
      <c r="W563" s="24"/>
      <c r="X563" s="398"/>
      <c r="Y563" s="398"/>
      <c r="Z563" s="398"/>
      <c r="AA563" s="398"/>
      <c r="AB563" s="200"/>
    </row>
    <row r="564" spans="1:41" ht="19.95" customHeight="1">
      <c r="A564" s="199"/>
      <c r="B564" s="391"/>
      <c r="C564" s="391"/>
      <c r="D564" s="391"/>
      <c r="E564" s="391"/>
      <c r="F564" s="391"/>
      <c r="G564" s="391"/>
      <c r="H564" s="391"/>
      <c r="I564" s="391"/>
      <c r="J564" s="391"/>
      <c r="K564" s="391"/>
      <c r="L564" s="391"/>
      <c r="M564" s="391"/>
      <c r="N564" s="200"/>
      <c r="O564" s="199"/>
      <c r="P564" s="596"/>
      <c r="Q564" s="393"/>
      <c r="R564" s="24"/>
      <c r="S564" s="24"/>
      <c r="T564" s="470"/>
      <c r="U564" s="24"/>
      <c r="V564" s="24"/>
      <c r="W564" s="24"/>
      <c r="X564" s="398"/>
      <c r="Y564" s="398"/>
      <c r="Z564" s="398"/>
      <c r="AA564" s="398"/>
      <c r="AB564" s="200"/>
    </row>
    <row r="565" spans="1:41" ht="19.95" customHeight="1">
      <c r="A565" s="199"/>
      <c r="B565" s="601"/>
      <c r="C565" s="601"/>
      <c r="D565" s="601"/>
      <c r="E565" s="601"/>
      <c r="F565" s="601"/>
      <c r="G565" s="601"/>
      <c r="H565" s="601"/>
      <c r="I565" s="601"/>
      <c r="J565" s="601"/>
      <c r="K565" s="24"/>
      <c r="L565" s="24"/>
      <c r="M565" s="24"/>
      <c r="N565" s="200"/>
      <c r="O565" s="199"/>
      <c r="P565" s="596"/>
      <c r="Q565" s="393"/>
      <c r="R565" s="24"/>
      <c r="S565" s="24"/>
      <c r="T565" s="470"/>
      <c r="U565" s="24"/>
      <c r="V565" s="24"/>
      <c r="W565" s="24"/>
      <c r="X565" s="398"/>
      <c r="Y565" s="398"/>
      <c r="Z565" s="398"/>
      <c r="AA565" s="398"/>
      <c r="AB565" s="200"/>
    </row>
    <row r="566" spans="1:41" ht="19.95" customHeight="1">
      <c r="A566" s="199"/>
      <c r="B566" s="601"/>
      <c r="C566" s="601"/>
      <c r="D566" s="601"/>
      <c r="E566" s="601"/>
      <c r="F566" s="601"/>
      <c r="G566" s="601"/>
      <c r="H566" s="601"/>
      <c r="I566" s="601"/>
      <c r="J566" s="601"/>
      <c r="K566" s="24"/>
      <c r="L566" s="24"/>
      <c r="M566" s="24"/>
      <c r="N566" s="200"/>
      <c r="O566" s="199"/>
      <c r="P566" s="24"/>
      <c r="Q566" s="24"/>
      <c r="R566" s="398"/>
      <c r="S566" s="398"/>
      <c r="T566" s="398"/>
      <c r="U566" s="398"/>
      <c r="V566" s="398"/>
      <c r="W566" s="398"/>
      <c r="X566" s="398"/>
      <c r="Y566" s="398"/>
      <c r="Z566" s="398"/>
      <c r="AA566" s="398"/>
      <c r="AB566" s="200"/>
    </row>
    <row r="567" spans="1:41" ht="15" customHeight="1">
      <c r="A567" s="199"/>
      <c r="B567" s="24"/>
      <c r="C567" s="24"/>
      <c r="D567" s="24"/>
      <c r="E567" s="24"/>
      <c r="F567" s="24"/>
      <c r="G567" s="24"/>
      <c r="H567" s="24"/>
      <c r="I567" s="24"/>
      <c r="J567" s="24"/>
      <c r="K567" s="24"/>
      <c r="L567" s="24"/>
      <c r="M567" s="24"/>
      <c r="N567" s="200"/>
      <c r="O567" s="199"/>
      <c r="P567" s="24"/>
      <c r="Q567" s="24"/>
      <c r="R567" s="398"/>
      <c r="S567" s="398"/>
      <c r="T567" s="398"/>
      <c r="U567" s="398"/>
      <c r="V567" s="398"/>
      <c r="W567" s="398"/>
      <c r="X567" s="398"/>
      <c r="Y567" s="398"/>
      <c r="Z567" s="398"/>
      <c r="AA567" s="398"/>
      <c r="AB567" s="203"/>
    </row>
    <row r="568" spans="1:41" ht="30" customHeight="1">
      <c r="A568" s="210" t="s">
        <v>1148</v>
      </c>
      <c r="B568" s="399" t="s">
        <v>2953</v>
      </c>
      <c r="C568" s="396"/>
      <c r="D568" s="396"/>
      <c r="E568" s="396"/>
      <c r="F568" s="396"/>
      <c r="G568" s="396"/>
      <c r="H568" s="396"/>
      <c r="I568" s="396"/>
      <c r="J568" s="396"/>
      <c r="K568" s="373"/>
      <c r="L568" s="373"/>
      <c r="M568" s="373"/>
      <c r="N568" s="211" t="s">
        <v>1149</v>
      </c>
      <c r="O568" s="372"/>
      <c r="P568" s="374"/>
      <c r="Q568" s="373"/>
      <c r="R568" s="373"/>
      <c r="S568" s="373"/>
      <c r="T568" s="373"/>
      <c r="U568" s="373"/>
      <c r="V568" s="373"/>
      <c r="W568" s="373"/>
      <c r="X568" s="373"/>
      <c r="Y568" s="373"/>
      <c r="Z568" s="373"/>
      <c r="AA568" s="373"/>
      <c r="AB568" s="211" t="s">
        <v>1149</v>
      </c>
    </row>
    <row r="569" spans="1:41" ht="10.050000000000001" customHeight="1">
      <c r="A569" s="199"/>
      <c r="B569" s="24"/>
      <c r="C569" s="24"/>
      <c r="D569" s="24"/>
      <c r="E569" s="24"/>
      <c r="F569" s="24"/>
      <c r="G569" s="24"/>
      <c r="H569" s="24"/>
      <c r="I569" s="24"/>
      <c r="J569" s="24"/>
      <c r="K569" s="24"/>
      <c r="L569" s="24"/>
      <c r="M569" s="24"/>
      <c r="N569" s="200"/>
      <c r="O569" s="199"/>
      <c r="P569" s="24"/>
      <c r="Q569" s="24"/>
      <c r="R569" s="24"/>
      <c r="S569" s="24"/>
      <c r="T569" s="24"/>
      <c r="U569" s="24"/>
      <c r="V569" s="24"/>
      <c r="W569" s="24"/>
      <c r="X569" s="24"/>
      <c r="Y569" s="24"/>
      <c r="Z569" s="24"/>
      <c r="AA569" s="24"/>
      <c r="AB569" s="200"/>
    </row>
    <row r="570" spans="1:41" ht="19.95" customHeight="1">
      <c r="A570" s="608" t="s">
        <v>2674</v>
      </c>
      <c r="B570" s="394"/>
      <c r="C570" s="24"/>
      <c r="D570" s="24"/>
      <c r="E570" s="24"/>
      <c r="F570" s="24"/>
      <c r="G570" s="24"/>
      <c r="H570" s="24"/>
      <c r="I570" s="24"/>
      <c r="J570" s="24"/>
      <c r="K570" s="24"/>
      <c r="L570" s="24"/>
      <c r="M570" s="24"/>
      <c r="N570" s="200"/>
      <c r="O570" s="199"/>
      <c r="P570" s="24"/>
      <c r="Q570" s="24"/>
      <c r="R570" s="398"/>
      <c r="S570" s="398"/>
      <c r="T570" s="398"/>
      <c r="U570" s="398"/>
      <c r="V570" s="398"/>
      <c r="W570" s="398"/>
      <c r="X570" s="398"/>
      <c r="Y570" s="398"/>
      <c r="Z570" s="398"/>
      <c r="AA570" s="398"/>
      <c r="AB570" s="200"/>
    </row>
    <row r="571" spans="1:41" ht="19.95" customHeight="1">
      <c r="A571" s="199"/>
      <c r="B571" s="601"/>
      <c r="C571" s="601"/>
      <c r="D571" s="601"/>
      <c r="E571" s="601"/>
      <c r="F571" s="601"/>
      <c r="G571" s="601"/>
      <c r="H571" s="601"/>
      <c r="I571" s="601"/>
      <c r="J571" s="601"/>
      <c r="K571" s="601"/>
      <c r="L571" s="601"/>
      <c r="M571" s="601"/>
      <c r="N571" s="200"/>
      <c r="O571" s="199"/>
      <c r="P571" s="24"/>
      <c r="Q571" s="24"/>
      <c r="R571" s="398"/>
      <c r="S571" s="398"/>
      <c r="T571" s="398"/>
      <c r="U571" s="398"/>
      <c r="V571" s="398"/>
      <c r="W571" s="398"/>
      <c r="X571" s="398"/>
      <c r="Y571" s="398"/>
      <c r="Z571" s="398"/>
      <c r="AA571" s="398"/>
      <c r="AB571" s="200"/>
    </row>
    <row r="572" spans="1:41" ht="19.95" customHeight="1">
      <c r="A572" s="199"/>
      <c r="B572" s="601"/>
      <c r="C572" s="601"/>
      <c r="D572" s="601"/>
      <c r="E572" s="601"/>
      <c r="F572" s="601"/>
      <c r="G572" s="601"/>
      <c r="H572" s="601"/>
      <c r="I572" s="601"/>
      <c r="J572" s="601"/>
      <c r="K572" s="601"/>
      <c r="L572" s="601"/>
      <c r="M572" s="601"/>
      <c r="N572" s="200"/>
      <c r="O572" s="199"/>
      <c r="P572" s="24"/>
      <c r="Q572" s="24"/>
      <c r="R572" s="398"/>
      <c r="S572" s="398"/>
      <c r="T572" s="398"/>
      <c r="U572" s="398"/>
      <c r="V572" s="398"/>
      <c r="W572" s="398"/>
      <c r="X572" s="398"/>
      <c r="Y572" s="398"/>
      <c r="Z572" s="398"/>
      <c r="AA572" s="398"/>
      <c r="AB572" s="200"/>
    </row>
    <row r="573" spans="1:41" ht="19.95" customHeight="1">
      <c r="A573" s="199"/>
      <c r="B573" s="601"/>
      <c r="C573" s="601"/>
      <c r="D573" s="601"/>
      <c r="E573" s="601"/>
      <c r="F573" s="601"/>
      <c r="G573" s="601"/>
      <c r="H573" s="601"/>
      <c r="I573" s="601"/>
      <c r="J573" s="601"/>
      <c r="K573" s="601"/>
      <c r="L573" s="601"/>
      <c r="M573" s="601"/>
      <c r="N573" s="200"/>
      <c r="O573" s="199"/>
      <c r="P573" s="24"/>
      <c r="Q573" s="24"/>
      <c r="R573" s="398"/>
      <c r="S573" s="398"/>
      <c r="T573" s="398"/>
      <c r="U573" s="398"/>
      <c r="V573" s="398"/>
      <c r="W573" s="398"/>
      <c r="X573" s="398"/>
      <c r="Y573" s="398"/>
      <c r="Z573" s="398"/>
      <c r="AA573" s="398"/>
      <c r="AB573" s="200"/>
    </row>
    <row r="574" spans="1:41" ht="19.95" customHeight="1">
      <c r="A574" s="199"/>
      <c r="B574" s="601"/>
      <c r="C574" s="601"/>
      <c r="D574" s="601"/>
      <c r="E574" s="601"/>
      <c r="F574" s="601"/>
      <c r="G574" s="601"/>
      <c r="H574" s="601"/>
      <c r="I574" s="601"/>
      <c r="J574" s="601"/>
      <c r="K574" s="601"/>
      <c r="L574" s="601"/>
      <c r="M574" s="601"/>
      <c r="N574" s="200"/>
      <c r="O574" s="199"/>
      <c r="P574" s="24"/>
      <c r="Q574" s="24"/>
      <c r="R574" s="398"/>
      <c r="S574" s="398"/>
      <c r="T574" s="398"/>
      <c r="U574" s="398"/>
      <c r="V574" s="398"/>
      <c r="W574" s="398"/>
      <c r="X574" s="398"/>
      <c r="Y574" s="398"/>
      <c r="Z574" s="398"/>
      <c r="AA574" s="398"/>
      <c r="AB574" s="200"/>
    </row>
    <row r="575" spans="1:41" ht="19.95" customHeight="1">
      <c r="A575" s="199"/>
      <c r="B575" s="601"/>
      <c r="C575" s="601"/>
      <c r="D575" s="601"/>
      <c r="E575" s="601"/>
      <c r="F575" s="601"/>
      <c r="G575" s="601"/>
      <c r="H575" s="601"/>
      <c r="I575" s="601"/>
      <c r="J575" s="601"/>
      <c r="K575" s="601"/>
      <c r="L575" s="601"/>
      <c r="M575" s="601"/>
      <c r="N575" s="200"/>
      <c r="O575" s="199"/>
      <c r="P575" s="24"/>
      <c r="Q575" s="24"/>
      <c r="R575" s="398"/>
      <c r="S575" s="398"/>
      <c r="T575" s="398"/>
      <c r="U575" s="398"/>
      <c r="V575" s="398"/>
      <c r="W575" s="398"/>
      <c r="X575" s="398"/>
      <c r="Y575" s="398"/>
      <c r="Z575" s="398"/>
      <c r="AA575" s="398"/>
      <c r="AB575" s="200"/>
    </row>
    <row r="576" spans="1:41" ht="19.95" customHeight="1">
      <c r="A576" s="199"/>
      <c r="B576" s="601"/>
      <c r="C576" s="24"/>
      <c r="D576" s="24"/>
      <c r="E576" s="24"/>
      <c r="F576" s="24"/>
      <c r="G576" s="24"/>
      <c r="H576" s="24"/>
      <c r="I576" s="24"/>
      <c r="J576" s="24"/>
      <c r="K576" s="24"/>
      <c r="L576" s="24"/>
      <c r="M576" s="24"/>
      <c r="N576" s="200"/>
      <c r="O576" s="199"/>
      <c r="P576" s="394"/>
      <c r="Q576" s="24"/>
      <c r="R576" s="398"/>
      <c r="S576" s="398"/>
      <c r="T576" s="398"/>
      <c r="U576" s="398"/>
      <c r="V576" s="398"/>
      <c r="W576" s="398"/>
      <c r="X576" s="398"/>
      <c r="Y576" s="398"/>
      <c r="Z576" s="398"/>
      <c r="AA576" s="398"/>
      <c r="AB576" s="200"/>
    </row>
    <row r="577" spans="1:28" ht="19.95" customHeight="1">
      <c r="A577" s="199"/>
      <c r="B577" s="601"/>
      <c r="C577" s="601"/>
      <c r="D577" s="601"/>
      <c r="E577" s="601"/>
      <c r="F577" s="601"/>
      <c r="G577" s="601"/>
      <c r="H577" s="601"/>
      <c r="I577" s="601"/>
      <c r="J577" s="601"/>
      <c r="K577" s="601"/>
      <c r="L577" s="601"/>
      <c r="M577" s="601"/>
      <c r="N577" s="200"/>
      <c r="O577" s="199"/>
      <c r="P577" s="24"/>
      <c r="Q577" s="24"/>
      <c r="R577" s="398"/>
      <c r="S577" s="398"/>
      <c r="T577" s="398"/>
      <c r="U577" s="398"/>
      <c r="V577" s="398"/>
      <c r="W577" s="398"/>
      <c r="X577" s="398"/>
      <c r="Y577" s="398"/>
      <c r="Z577" s="398"/>
      <c r="AA577" s="398"/>
      <c r="AB577" s="200"/>
    </row>
    <row r="578" spans="1:28" ht="19.95" customHeight="1">
      <c r="A578" s="199"/>
      <c r="B578" s="601"/>
      <c r="C578" s="601"/>
      <c r="D578" s="601"/>
      <c r="E578" s="601"/>
      <c r="F578" s="601"/>
      <c r="G578" s="601"/>
      <c r="H578" s="601"/>
      <c r="I578" s="601"/>
      <c r="J578" s="601"/>
      <c r="K578" s="601"/>
      <c r="L578" s="601"/>
      <c r="M578" s="601"/>
      <c r="N578" s="200"/>
      <c r="O578" s="199"/>
      <c r="P578" s="24"/>
      <c r="Q578" s="24"/>
      <c r="R578" s="398"/>
      <c r="S578" s="398"/>
      <c r="T578" s="398"/>
      <c r="U578" s="398"/>
      <c r="V578" s="398"/>
      <c r="W578" s="398"/>
      <c r="X578" s="398"/>
      <c r="Y578" s="398"/>
      <c r="Z578" s="398"/>
      <c r="AA578" s="398"/>
      <c r="AB578" s="200"/>
    </row>
    <row r="579" spans="1:28" ht="19.95" customHeight="1">
      <c r="A579" s="199"/>
      <c r="B579" s="601"/>
      <c r="C579" s="601"/>
      <c r="D579" s="601"/>
      <c r="E579" s="601"/>
      <c r="F579" s="601"/>
      <c r="G579" s="601"/>
      <c r="H579" s="601"/>
      <c r="I579" s="601"/>
      <c r="J579" s="601"/>
      <c r="K579" s="601"/>
      <c r="L579" s="601"/>
      <c r="M579" s="601"/>
      <c r="N579" s="200"/>
      <c r="O579" s="199"/>
      <c r="P579" s="24"/>
      <c r="Q579" s="24"/>
      <c r="R579" s="398"/>
      <c r="S579" s="398"/>
      <c r="T579" s="398"/>
      <c r="U579" s="398"/>
      <c r="V579" s="398"/>
      <c r="W579" s="398"/>
      <c r="X579" s="398"/>
      <c r="Y579" s="398"/>
      <c r="Z579" s="398"/>
      <c r="AA579" s="398"/>
      <c r="AB579" s="200"/>
    </row>
    <row r="580" spans="1:28" ht="19.95" customHeight="1">
      <c r="A580" s="199"/>
      <c r="B580" s="601"/>
      <c r="C580" s="601"/>
      <c r="D580" s="601"/>
      <c r="E580" s="601"/>
      <c r="F580" s="601"/>
      <c r="G580" s="601"/>
      <c r="H580" s="601"/>
      <c r="I580" s="601"/>
      <c r="J580" s="601"/>
      <c r="K580" s="601"/>
      <c r="L580" s="601"/>
      <c r="M580" s="601"/>
      <c r="N580" s="200"/>
      <c r="O580" s="199"/>
      <c r="P580" s="24"/>
      <c r="Q580" s="24"/>
      <c r="R580" s="398"/>
      <c r="S580" s="398"/>
      <c r="T580" s="398"/>
      <c r="U580" s="398"/>
      <c r="V580" s="398"/>
      <c r="W580" s="398"/>
      <c r="X580" s="398"/>
      <c r="Y580" s="398"/>
      <c r="Z580" s="398"/>
      <c r="AA580" s="398"/>
      <c r="AB580" s="200"/>
    </row>
    <row r="581" spans="1:28" ht="19.95" customHeight="1">
      <c r="A581" s="199"/>
      <c r="B581" s="601"/>
      <c r="C581" s="601"/>
      <c r="D581" s="601"/>
      <c r="E581" s="601"/>
      <c r="F581" s="601"/>
      <c r="G581" s="601"/>
      <c r="H581" s="601"/>
      <c r="I581" s="601"/>
      <c r="J581" s="601"/>
      <c r="K581" s="601"/>
      <c r="L581" s="601"/>
      <c r="M581" s="601"/>
      <c r="N581" s="200"/>
      <c r="O581" s="199"/>
      <c r="P581" s="24"/>
      <c r="Q581" s="24"/>
      <c r="R581" s="398"/>
      <c r="S581" s="398"/>
      <c r="T581" s="398"/>
      <c r="U581" s="398"/>
      <c r="V581" s="398"/>
      <c r="W581" s="398"/>
      <c r="X581" s="398"/>
      <c r="Y581" s="398"/>
      <c r="Z581" s="398"/>
      <c r="AA581" s="398"/>
      <c r="AB581" s="200"/>
    </row>
    <row r="582" spans="1:28" ht="19.95" customHeight="1">
      <c r="A582" s="199"/>
      <c r="B582" s="601"/>
      <c r="C582" s="24"/>
      <c r="D582" s="24"/>
      <c r="E582" s="24"/>
      <c r="F582" s="24"/>
      <c r="G582" s="24"/>
      <c r="H582" s="24"/>
      <c r="I582" s="24"/>
      <c r="J582" s="24"/>
      <c r="K582" s="24"/>
      <c r="L582" s="24"/>
      <c r="M582" s="24"/>
      <c r="N582" s="200"/>
      <c r="O582" s="199"/>
      <c r="P582" s="394"/>
      <c r="Q582" s="24"/>
      <c r="R582" s="398"/>
      <c r="S582" s="398"/>
      <c r="T582" s="398"/>
      <c r="U582" s="398"/>
      <c r="V582" s="398"/>
      <c r="W582" s="398"/>
      <c r="X582" s="398"/>
      <c r="Y582" s="398"/>
      <c r="Z582" s="398"/>
      <c r="AA582" s="398"/>
      <c r="AB582" s="200"/>
    </row>
    <row r="583" spans="1:28" ht="19.95" customHeight="1">
      <c r="A583" s="199"/>
      <c r="B583" s="601"/>
      <c r="C583" s="24"/>
      <c r="D583" s="24"/>
      <c r="E583" s="24"/>
      <c r="F583" s="24"/>
      <c r="G583" s="24"/>
      <c r="H583" s="24"/>
      <c r="I583" s="24"/>
      <c r="J583" s="24"/>
      <c r="K583" s="24"/>
      <c r="L583" s="24"/>
      <c r="M583" s="24"/>
      <c r="N583" s="200"/>
      <c r="O583" s="199"/>
      <c r="P583" s="394"/>
      <c r="Q583" s="24"/>
      <c r="R583" s="398"/>
      <c r="S583" s="398"/>
      <c r="T583" s="398"/>
      <c r="U583" s="398"/>
      <c r="V583" s="398"/>
      <c r="W583" s="398"/>
      <c r="X583" s="398"/>
      <c r="Y583" s="398"/>
      <c r="Z583" s="398"/>
      <c r="AA583" s="398"/>
      <c r="AB583" s="200"/>
    </row>
    <row r="584" spans="1:28" ht="19.95" customHeight="1">
      <c r="A584" s="199"/>
      <c r="B584" s="601"/>
      <c r="C584" s="24"/>
      <c r="D584" s="24"/>
      <c r="E584" s="24"/>
      <c r="F584" s="24"/>
      <c r="G584" s="24"/>
      <c r="H584" s="24"/>
      <c r="I584" s="24"/>
      <c r="J584" s="24"/>
      <c r="K584" s="24"/>
      <c r="L584" s="24"/>
      <c r="M584" s="24"/>
      <c r="N584" s="200"/>
      <c r="O584" s="199"/>
      <c r="P584" s="394"/>
      <c r="Q584" s="24"/>
      <c r="R584" s="398"/>
      <c r="S584" s="398"/>
      <c r="T584" s="398"/>
      <c r="U584" s="398"/>
      <c r="V584" s="398"/>
      <c r="W584" s="398"/>
      <c r="X584" s="398"/>
      <c r="Y584" s="398"/>
      <c r="Z584" s="398"/>
      <c r="AA584" s="398"/>
      <c r="AB584" s="200"/>
    </row>
    <row r="585" spans="1:28" ht="19.95" customHeight="1">
      <c r="A585" s="199"/>
      <c r="B585" s="601"/>
      <c r="C585" s="24"/>
      <c r="D585" s="24"/>
      <c r="E585" s="24"/>
      <c r="F585" s="24"/>
      <c r="G585" s="24"/>
      <c r="H585" s="24"/>
      <c r="I585" s="24"/>
      <c r="J585" s="24"/>
      <c r="K585" s="24"/>
      <c r="L585" s="24"/>
      <c r="M585" s="24"/>
      <c r="N585" s="200"/>
      <c r="O585" s="199"/>
      <c r="P585" s="394"/>
      <c r="Q585" s="24"/>
      <c r="R585" s="398"/>
      <c r="S585" s="398"/>
      <c r="T585" s="398"/>
      <c r="U585" s="398"/>
      <c r="V585" s="398"/>
      <c r="W585" s="398"/>
      <c r="X585" s="398"/>
      <c r="Y585" s="398"/>
      <c r="Z585" s="398"/>
      <c r="AA585" s="398"/>
      <c r="AB585" s="200"/>
    </row>
    <row r="586" spans="1:28" ht="19.95" customHeight="1">
      <c r="A586" s="199"/>
      <c r="B586" s="601"/>
      <c r="C586" s="24"/>
      <c r="D586" s="24"/>
      <c r="E586" s="24"/>
      <c r="F586" s="24"/>
      <c r="G586" s="24"/>
      <c r="H586" s="24"/>
      <c r="I586" s="24"/>
      <c r="J586" s="24"/>
      <c r="K586" s="24"/>
      <c r="L586" s="24"/>
      <c r="M586" s="24"/>
      <c r="N586" s="200"/>
      <c r="O586" s="199"/>
      <c r="P586" s="394"/>
      <c r="Q586" s="24"/>
      <c r="R586" s="398"/>
      <c r="S586" s="398"/>
      <c r="T586" s="398"/>
      <c r="U586" s="398"/>
      <c r="V586" s="398"/>
      <c r="W586" s="398"/>
      <c r="X586" s="398"/>
      <c r="Y586" s="398"/>
      <c r="Z586" s="398"/>
      <c r="AA586" s="398"/>
      <c r="AB586" s="200"/>
    </row>
    <row r="587" spans="1:28" ht="19.95" customHeight="1">
      <c r="A587" s="199"/>
      <c r="B587" s="601"/>
      <c r="C587" s="24"/>
      <c r="D587" s="24"/>
      <c r="E587" s="24"/>
      <c r="F587" s="24"/>
      <c r="G587" s="24"/>
      <c r="H587" s="24"/>
      <c r="I587" s="24"/>
      <c r="J587" s="24"/>
      <c r="K587" s="24"/>
      <c r="L587" s="24"/>
      <c r="M587" s="24"/>
      <c r="N587" s="200"/>
      <c r="O587" s="199"/>
      <c r="P587" s="394"/>
      <c r="Q587" s="24"/>
      <c r="R587" s="398"/>
      <c r="S587" s="398"/>
      <c r="T587" s="398"/>
      <c r="U587" s="398"/>
      <c r="V587" s="398"/>
      <c r="W587" s="398"/>
      <c r="X587" s="398"/>
      <c r="Y587" s="398"/>
      <c r="Z587" s="398"/>
      <c r="AA587" s="398"/>
      <c r="AB587" s="200"/>
    </row>
    <row r="588" spans="1:28" ht="19.95" customHeight="1">
      <c r="A588" s="199"/>
      <c r="B588" s="601"/>
      <c r="C588" s="24"/>
      <c r="D588" s="24"/>
      <c r="E588" s="24"/>
      <c r="F588" s="24"/>
      <c r="G588" s="24"/>
      <c r="H588" s="24"/>
      <c r="I588" s="24"/>
      <c r="J588" s="24"/>
      <c r="K588" s="24"/>
      <c r="L588" s="24"/>
      <c r="M588" s="24"/>
      <c r="N588" s="200"/>
      <c r="O588" s="199"/>
      <c r="P588" s="394"/>
      <c r="Q588" s="24"/>
      <c r="R588" s="398"/>
      <c r="S588" s="398"/>
      <c r="T588" s="398"/>
      <c r="U588" s="398"/>
      <c r="V588" s="398"/>
      <c r="W588" s="398"/>
      <c r="X588" s="398"/>
      <c r="Y588" s="398"/>
      <c r="Z588" s="398"/>
      <c r="AA588" s="398"/>
      <c r="AB588" s="200"/>
    </row>
    <row r="589" spans="1:28" ht="19.95" customHeight="1">
      <c r="A589" s="199"/>
      <c r="B589" s="601"/>
      <c r="C589" s="601"/>
      <c r="D589" s="601"/>
      <c r="E589" s="601"/>
      <c r="F589" s="601"/>
      <c r="G589" s="601"/>
      <c r="H589" s="601"/>
      <c r="I589" s="601"/>
      <c r="J589" s="601"/>
      <c r="K589" s="601"/>
      <c r="L589" s="601"/>
      <c r="M589" s="601"/>
      <c r="N589" s="200"/>
      <c r="O589" s="199"/>
      <c r="P589" s="24"/>
      <c r="Q589" s="24"/>
      <c r="R589" s="398"/>
      <c r="S589" s="398"/>
      <c r="T589" s="398"/>
      <c r="U589" s="398"/>
      <c r="V589" s="398"/>
      <c r="W589" s="398"/>
      <c r="X589" s="398"/>
      <c r="Y589" s="398"/>
      <c r="Z589" s="398"/>
      <c r="AA589" s="398"/>
      <c r="AB589" s="200"/>
    </row>
    <row r="590" spans="1:28" ht="19.95" customHeight="1">
      <c r="A590" s="199"/>
      <c r="B590" s="393"/>
      <c r="C590" s="392"/>
      <c r="D590" s="392"/>
      <c r="E590" s="392"/>
      <c r="F590" s="392"/>
      <c r="G590" s="601"/>
      <c r="H590" s="601"/>
      <c r="I590" s="601"/>
      <c r="J590" s="601"/>
      <c r="K590" s="601"/>
      <c r="L590" s="601"/>
      <c r="M590" s="601"/>
      <c r="N590" s="392"/>
      <c r="O590" s="199"/>
      <c r="P590" s="24"/>
      <c r="Q590" s="24"/>
      <c r="R590" s="398"/>
      <c r="S590" s="398"/>
      <c r="T590" s="398"/>
      <c r="U590" s="398"/>
      <c r="V590" s="398"/>
      <c r="W590" s="398"/>
      <c r="X590" s="398"/>
      <c r="Y590" s="398"/>
      <c r="Z590" s="398"/>
      <c r="AA590" s="398"/>
      <c r="AB590" s="200"/>
    </row>
    <row r="591" spans="1:28" ht="19.95" customHeight="1">
      <c r="A591" s="199"/>
      <c r="B591" s="393"/>
      <c r="C591" s="392"/>
      <c r="D591" s="392"/>
      <c r="E591" s="392"/>
      <c r="F591" s="392"/>
      <c r="G591" s="601"/>
      <c r="H591" s="601"/>
      <c r="I591" s="601"/>
      <c r="J591" s="601"/>
      <c r="K591" s="601"/>
      <c r="L591" s="601"/>
      <c r="M591" s="601"/>
      <c r="N591" s="200"/>
      <c r="O591" s="199"/>
      <c r="P591" s="24"/>
      <c r="Q591" s="24"/>
      <c r="R591" s="398"/>
      <c r="S591" s="398"/>
      <c r="T591" s="398"/>
      <c r="U591" s="398"/>
      <c r="V591" s="398"/>
      <c r="W591" s="398"/>
      <c r="X591" s="398"/>
      <c r="Y591" s="398"/>
      <c r="Z591" s="398"/>
      <c r="AA591" s="398"/>
      <c r="AB591" s="200"/>
    </row>
    <row r="592" spans="1:28" ht="19.95" customHeight="1">
      <c r="A592" s="199"/>
      <c r="B592" s="393"/>
      <c r="C592" s="392"/>
      <c r="D592" s="392"/>
      <c r="E592" s="392"/>
      <c r="F592" s="392"/>
      <c r="G592" s="601"/>
      <c r="H592" s="601"/>
      <c r="I592" s="601"/>
      <c r="J592" s="601"/>
      <c r="K592" s="601"/>
      <c r="L592" s="601"/>
      <c r="M592" s="601"/>
      <c r="N592" s="392"/>
      <c r="O592" s="199"/>
      <c r="P592" s="24"/>
      <c r="Q592" s="24"/>
      <c r="R592" s="398"/>
      <c r="S592" s="398"/>
      <c r="T592" s="398"/>
      <c r="U592" s="398"/>
      <c r="V592" s="398"/>
      <c r="W592" s="398"/>
      <c r="X592" s="398"/>
      <c r="Y592" s="398"/>
      <c r="Z592" s="398"/>
      <c r="AA592" s="398"/>
      <c r="AB592" s="200"/>
    </row>
    <row r="593" spans="1:28" ht="19.95" customHeight="1">
      <c r="A593" s="199"/>
      <c r="B593" s="393"/>
      <c r="C593" s="392"/>
      <c r="D593" s="392"/>
      <c r="E593" s="392"/>
      <c r="F593" s="392"/>
      <c r="G593" s="601"/>
      <c r="H593" s="601"/>
      <c r="I593" s="601"/>
      <c r="J593" s="601"/>
      <c r="K593" s="601"/>
      <c r="L593" s="601"/>
      <c r="M593" s="601"/>
      <c r="N593" s="200"/>
      <c r="O593" s="199"/>
      <c r="P593" s="24"/>
      <c r="Q593" s="24"/>
      <c r="R593" s="398"/>
      <c r="S593" s="398"/>
      <c r="T593" s="398"/>
      <c r="U593" s="398"/>
      <c r="V593" s="398"/>
      <c r="W593" s="398"/>
      <c r="X593" s="398"/>
      <c r="Y593" s="398"/>
      <c r="Z593" s="398"/>
      <c r="AA593" s="398"/>
      <c r="AB593" s="200"/>
    </row>
    <row r="594" spans="1:28" ht="19.95" customHeight="1">
      <c r="A594" s="199"/>
      <c r="B594" s="24"/>
      <c r="C594" s="24"/>
      <c r="D594" s="24"/>
      <c r="E594" s="24"/>
      <c r="F594" s="24"/>
      <c r="G594" s="601"/>
      <c r="H594" s="601"/>
      <c r="I594" s="601"/>
      <c r="J594" s="601"/>
      <c r="K594" s="601"/>
      <c r="L594" s="601"/>
      <c r="M594" s="601"/>
      <c r="N594" s="200"/>
      <c r="O594" s="199"/>
      <c r="P594" s="24"/>
      <c r="Q594" s="24"/>
      <c r="R594" s="398"/>
      <c r="S594" s="398"/>
      <c r="T594" s="398"/>
      <c r="U594" s="398"/>
      <c r="V594" s="398"/>
      <c r="W594" s="398"/>
      <c r="X594" s="398"/>
      <c r="Y594" s="398"/>
      <c r="Z594" s="398"/>
      <c r="AA594" s="398"/>
      <c r="AB594" s="200"/>
    </row>
    <row r="595" spans="1:28" ht="19.95" customHeight="1">
      <c r="A595" s="199"/>
      <c r="B595" s="24"/>
      <c r="C595" s="24"/>
      <c r="D595" s="24"/>
      <c r="E595" s="24"/>
      <c r="F595" s="24"/>
      <c r="G595" s="24"/>
      <c r="H595" s="24"/>
      <c r="I595" s="24"/>
      <c r="J595" s="24"/>
      <c r="K595" s="24"/>
      <c r="L595" s="24"/>
      <c r="M595" s="24"/>
      <c r="N595" s="200"/>
      <c r="O595" s="199"/>
      <c r="P595" s="24"/>
      <c r="Q595" s="24"/>
      <c r="R595" s="398"/>
      <c r="S595" s="398"/>
      <c r="T595" s="398"/>
      <c r="U595" s="398"/>
      <c r="V595" s="398"/>
      <c r="W595" s="398"/>
      <c r="X595" s="398"/>
      <c r="Y595" s="398"/>
      <c r="Z595" s="398"/>
      <c r="AA595" s="398"/>
      <c r="AB595" s="200"/>
    </row>
    <row r="596" spans="1:28" ht="19.95" customHeight="1">
      <c r="A596" s="199"/>
      <c r="B596" s="24"/>
      <c r="C596" s="24"/>
      <c r="D596" s="24"/>
      <c r="E596" s="24"/>
      <c r="F596" s="24"/>
      <c r="G596" s="24"/>
      <c r="H596" s="24"/>
      <c r="I596" s="24"/>
      <c r="J596" s="24"/>
      <c r="K596" s="24"/>
      <c r="L596" s="24"/>
      <c r="M596" s="24"/>
      <c r="N596" s="200"/>
      <c r="O596" s="199"/>
      <c r="P596" s="899" t="s">
        <v>1704</v>
      </c>
      <c r="Q596" s="900"/>
      <c r="R596" s="900"/>
      <c r="S596" s="900"/>
      <c r="T596" s="900"/>
      <c r="U596" s="900"/>
      <c r="V596" s="901"/>
      <c r="W596" s="901"/>
      <c r="X596" s="901"/>
      <c r="Y596" s="901"/>
      <c r="Z596" s="901"/>
      <c r="AA596" s="398"/>
      <c r="AB596" s="200"/>
    </row>
    <row r="597" spans="1:28" ht="19.95" customHeight="1">
      <c r="A597" s="199"/>
      <c r="B597" s="601"/>
      <c r="C597" s="601"/>
      <c r="D597" s="601"/>
      <c r="E597" s="601"/>
      <c r="F597" s="601"/>
      <c r="G597" s="601"/>
      <c r="H597" s="601"/>
      <c r="I597" s="601"/>
      <c r="J597" s="601"/>
      <c r="K597" s="601"/>
      <c r="L597" s="601"/>
      <c r="M597" s="601"/>
      <c r="N597" s="200"/>
      <c r="O597" s="199"/>
      <c r="P597" s="902" t="s">
        <v>3204</v>
      </c>
      <c r="Q597" s="899"/>
      <c r="R597" s="900"/>
      <c r="S597" s="900"/>
      <c r="T597" s="903" t="s">
        <v>1709</v>
      </c>
      <c r="U597" s="900"/>
      <c r="V597" s="901"/>
      <c r="W597" s="901"/>
      <c r="X597" s="901"/>
      <c r="Y597" s="901"/>
      <c r="Z597" s="901"/>
      <c r="AA597" s="398"/>
      <c r="AB597" s="200"/>
    </row>
    <row r="598" spans="1:28" ht="19.95" customHeight="1">
      <c r="A598" s="199"/>
      <c r="B598" s="601"/>
      <c r="C598" s="601"/>
      <c r="D598" s="601"/>
      <c r="E598" s="601"/>
      <c r="F598" s="601"/>
      <c r="G598" s="601"/>
      <c r="H598" s="601"/>
      <c r="I598" s="601"/>
      <c r="J598" s="601"/>
      <c r="K598" s="601"/>
      <c r="L598" s="601"/>
      <c r="M598" s="601"/>
      <c r="N598" s="200"/>
      <c r="O598" s="199"/>
      <c r="P598" s="902" t="s">
        <v>3205</v>
      </c>
      <c r="Q598" s="899"/>
      <c r="R598" s="900"/>
      <c r="S598" s="900"/>
      <c r="T598" s="903" t="s">
        <v>1710</v>
      </c>
      <c r="U598" s="900"/>
      <c r="V598" s="901"/>
      <c r="W598" s="901"/>
      <c r="X598" s="901"/>
      <c r="Y598" s="901"/>
      <c r="Z598" s="901"/>
      <c r="AA598" s="398"/>
      <c r="AB598" s="200"/>
    </row>
    <row r="599" spans="1:28" ht="19.95" customHeight="1">
      <c r="A599" s="199"/>
      <c r="B599" s="601"/>
      <c r="C599" s="601"/>
      <c r="D599" s="601"/>
      <c r="E599" s="601"/>
      <c r="F599" s="601"/>
      <c r="G599" s="601"/>
      <c r="H599" s="601"/>
      <c r="I599" s="601"/>
      <c r="J599" s="601"/>
      <c r="K599" s="601"/>
      <c r="L599" s="601"/>
      <c r="M599" s="601"/>
      <c r="N599" s="200"/>
      <c r="O599" s="199"/>
      <c r="P599" s="902" t="s">
        <v>3206</v>
      </c>
      <c r="Q599" s="899"/>
      <c r="R599" s="900"/>
      <c r="S599" s="900"/>
      <c r="T599" s="903" t="s">
        <v>1711</v>
      </c>
      <c r="U599" s="900"/>
      <c r="V599" s="900"/>
      <c r="W599" s="900"/>
      <c r="X599" s="901"/>
      <c r="Y599" s="901"/>
      <c r="Z599" s="901"/>
      <c r="AA599" s="398"/>
      <c r="AB599" s="200"/>
    </row>
    <row r="600" spans="1:28" ht="19.95" customHeight="1">
      <c r="A600" s="199"/>
      <c r="B600" s="601"/>
      <c r="C600" s="601"/>
      <c r="D600" s="601"/>
      <c r="E600" s="601"/>
      <c r="F600" s="601"/>
      <c r="G600" s="601"/>
      <c r="H600" s="601"/>
      <c r="I600" s="601"/>
      <c r="J600" s="601"/>
      <c r="K600" s="24"/>
      <c r="L600" s="24"/>
      <c r="M600" s="24"/>
      <c r="N600" s="200"/>
      <c r="O600" s="199"/>
      <c r="P600" s="24"/>
      <c r="Q600" s="24"/>
      <c r="R600" s="398"/>
      <c r="S600" s="398"/>
      <c r="T600" s="398"/>
      <c r="U600" s="398"/>
      <c r="V600" s="398"/>
      <c r="W600" s="398"/>
      <c r="X600" s="398"/>
      <c r="Y600" s="398"/>
      <c r="Z600" s="398"/>
      <c r="AA600" s="398"/>
      <c r="AB600" s="200"/>
    </row>
    <row r="601" spans="1:28" ht="10.050000000000001" customHeight="1">
      <c r="A601" s="199"/>
      <c r="B601" s="24"/>
      <c r="C601" s="24"/>
      <c r="D601" s="24"/>
      <c r="E601" s="24"/>
      <c r="F601" s="24"/>
      <c r="G601" s="24"/>
      <c r="H601" s="24"/>
      <c r="I601" s="24"/>
      <c r="J601" s="24"/>
      <c r="K601" s="24"/>
      <c r="L601" s="24"/>
      <c r="M601" s="24"/>
      <c r="N601" s="200"/>
      <c r="O601" s="199"/>
      <c r="P601" s="24"/>
      <c r="Q601" s="24"/>
      <c r="R601" s="398"/>
      <c r="S601" s="398"/>
      <c r="T601" s="398"/>
      <c r="U601" s="398"/>
      <c r="V601" s="398"/>
      <c r="W601" s="398"/>
      <c r="X601" s="398"/>
      <c r="Y601" s="398"/>
      <c r="Z601" s="398"/>
      <c r="AA601" s="398"/>
      <c r="AB601" s="203"/>
    </row>
    <row r="602" spans="1:28" ht="30" customHeight="1">
      <c r="A602" s="210" t="s">
        <v>1148</v>
      </c>
      <c r="B602" s="399" t="s">
        <v>2954</v>
      </c>
      <c r="C602" s="396"/>
      <c r="D602" s="396"/>
      <c r="E602" s="396"/>
      <c r="F602" s="396"/>
      <c r="G602" s="396"/>
      <c r="H602" s="396"/>
      <c r="I602" s="396"/>
      <c r="J602" s="396"/>
      <c r="K602" s="373"/>
      <c r="L602" s="373"/>
      <c r="M602" s="373"/>
      <c r="N602" s="211" t="s">
        <v>1149</v>
      </c>
      <c r="O602" s="372"/>
      <c r="P602" s="374"/>
      <c r="Q602" s="373"/>
      <c r="R602" s="373"/>
      <c r="S602" s="373"/>
      <c r="T602" s="373"/>
      <c r="U602" s="373"/>
      <c r="V602" s="373"/>
      <c r="W602" s="373"/>
      <c r="X602" s="373"/>
      <c r="Y602" s="373"/>
      <c r="Z602" s="373"/>
      <c r="AA602" s="373"/>
      <c r="AB602" s="211" t="s">
        <v>1149</v>
      </c>
    </row>
    <row r="603" spans="1:28" ht="10.050000000000001" customHeight="1">
      <c r="A603" s="199"/>
      <c r="B603" s="24"/>
      <c r="C603" s="24"/>
      <c r="D603" s="24"/>
      <c r="E603" s="24"/>
      <c r="F603" s="24"/>
      <c r="G603" s="24"/>
      <c r="H603" s="24"/>
      <c r="I603" s="24"/>
      <c r="J603" s="24"/>
      <c r="K603" s="24"/>
      <c r="L603" s="24"/>
      <c r="M603" s="24"/>
      <c r="N603" s="200"/>
      <c r="O603" s="199"/>
      <c r="P603" s="24"/>
      <c r="Q603" s="24"/>
      <c r="R603" s="24"/>
      <c r="S603" s="24"/>
      <c r="T603" s="24"/>
      <c r="U603" s="24"/>
      <c r="V603" s="24"/>
      <c r="W603" s="24"/>
      <c r="X603" s="24"/>
      <c r="Y603" s="24"/>
      <c r="Z603" s="24"/>
      <c r="AA603" s="24"/>
      <c r="AB603" s="200"/>
    </row>
    <row r="604" spans="1:28" ht="19.95" customHeight="1">
      <c r="A604" s="199"/>
      <c r="B604" s="394"/>
      <c r="C604" s="24"/>
      <c r="D604" s="24"/>
      <c r="E604" s="24"/>
      <c r="F604" s="24"/>
      <c r="G604" s="24"/>
      <c r="H604" s="24"/>
      <c r="I604" s="24"/>
      <c r="J604" s="24"/>
      <c r="K604" s="24"/>
      <c r="L604" s="24"/>
      <c r="M604" s="24"/>
      <c r="N604" s="200"/>
      <c r="O604" s="199"/>
      <c r="P604" s="24"/>
      <c r="Q604" s="24"/>
      <c r="R604" s="398"/>
      <c r="S604" s="398"/>
      <c r="T604" s="398"/>
      <c r="U604" s="398"/>
      <c r="V604" s="398"/>
      <c r="W604" s="398"/>
      <c r="X604" s="398"/>
      <c r="Y604" s="398"/>
      <c r="Z604" s="398"/>
      <c r="AA604" s="398"/>
      <c r="AB604" s="200"/>
    </row>
    <row r="605" spans="1:28" ht="19.95" customHeight="1">
      <c r="A605" s="199"/>
      <c r="B605" s="601"/>
      <c r="C605" s="601"/>
      <c r="D605" s="601"/>
      <c r="E605" s="601"/>
      <c r="F605" s="601"/>
      <c r="G605" s="601"/>
      <c r="H605" s="601"/>
      <c r="I605" s="601"/>
      <c r="J605" s="601"/>
      <c r="K605" s="601"/>
      <c r="L605" s="601"/>
      <c r="M605" s="601"/>
      <c r="N605" s="200"/>
      <c r="O605" s="199"/>
      <c r="P605" s="24"/>
      <c r="Q605" s="24"/>
      <c r="R605" s="398"/>
      <c r="S605" s="398"/>
      <c r="T605" s="398"/>
      <c r="U605" s="398"/>
      <c r="V605" s="398"/>
      <c r="W605" s="398"/>
      <c r="X605" s="398"/>
      <c r="Y605" s="398"/>
      <c r="Z605" s="398"/>
      <c r="AA605" s="398"/>
      <c r="AB605" s="200"/>
    </row>
    <row r="606" spans="1:28" ht="19.95" customHeight="1">
      <c r="A606" s="199"/>
      <c r="B606" s="601"/>
      <c r="C606" s="601"/>
      <c r="D606" s="601"/>
      <c r="E606" s="601"/>
      <c r="F606" s="601"/>
      <c r="G606" s="601"/>
      <c r="H606" s="601"/>
      <c r="I606" s="601"/>
      <c r="J606" s="601"/>
      <c r="K606" s="601"/>
      <c r="L606" s="601"/>
      <c r="M606" s="601"/>
      <c r="N606" s="200"/>
      <c r="O606" s="199"/>
      <c r="P606" s="24"/>
      <c r="Q606" s="24"/>
      <c r="R606" s="398"/>
      <c r="S606" s="398"/>
      <c r="T606" s="398"/>
      <c r="U606" s="398"/>
      <c r="V606" s="398"/>
      <c r="W606" s="398"/>
      <c r="X606" s="398"/>
      <c r="Y606" s="398"/>
      <c r="Z606" s="398"/>
      <c r="AA606" s="398"/>
      <c r="AB606" s="200"/>
    </row>
    <row r="607" spans="1:28" ht="19.95" customHeight="1">
      <c r="A607" s="199"/>
      <c r="B607" s="601"/>
      <c r="C607" s="601"/>
      <c r="D607" s="601"/>
      <c r="E607" s="601"/>
      <c r="F607" s="601"/>
      <c r="G607" s="601"/>
      <c r="H607" s="601"/>
      <c r="I607" s="601"/>
      <c r="J607" s="601"/>
      <c r="K607" s="601"/>
      <c r="L607" s="601"/>
      <c r="M607" s="601"/>
      <c r="N607" s="200"/>
      <c r="O607" s="199"/>
      <c r="P607" s="24"/>
      <c r="Q607" s="24"/>
      <c r="R607" s="398"/>
      <c r="S607" s="398"/>
      <c r="T607" s="398"/>
      <c r="U607" s="398"/>
      <c r="V607" s="398"/>
      <c r="W607" s="398"/>
      <c r="X607" s="398"/>
      <c r="Y607" s="398"/>
      <c r="Z607" s="398"/>
      <c r="AA607" s="398"/>
      <c r="AB607" s="200"/>
    </row>
    <row r="608" spans="1:28" ht="19.95" customHeight="1">
      <c r="A608" s="199"/>
      <c r="B608" s="601"/>
      <c r="C608" s="601"/>
      <c r="D608" s="601"/>
      <c r="E608" s="601"/>
      <c r="F608" s="601"/>
      <c r="G608" s="601"/>
      <c r="H608" s="601"/>
      <c r="I608" s="601"/>
      <c r="J608" s="601"/>
      <c r="K608" s="601"/>
      <c r="L608" s="601"/>
      <c r="M608" s="601"/>
      <c r="N608" s="200"/>
      <c r="O608" s="199"/>
      <c r="P608" s="24"/>
      <c r="Q608" s="24"/>
      <c r="R608" s="398"/>
      <c r="S608" s="398"/>
      <c r="T608" s="398"/>
      <c r="U608" s="398"/>
      <c r="V608" s="398"/>
      <c r="W608" s="398"/>
      <c r="X608" s="398"/>
      <c r="Y608" s="398"/>
      <c r="Z608" s="398"/>
      <c r="AA608" s="398"/>
      <c r="AB608" s="200"/>
    </row>
    <row r="609" spans="1:46" ht="19.95" customHeight="1">
      <c r="A609" s="199"/>
      <c r="B609" s="601"/>
      <c r="C609" s="601"/>
      <c r="D609" s="601"/>
      <c r="E609" s="601"/>
      <c r="F609" s="601"/>
      <c r="G609" s="601"/>
      <c r="H609" s="601"/>
      <c r="I609" s="601"/>
      <c r="J609" s="601"/>
      <c r="K609" s="601"/>
      <c r="L609" s="601"/>
      <c r="M609" s="601"/>
      <c r="N609" s="200"/>
      <c r="O609" s="199"/>
      <c r="P609" s="24"/>
      <c r="Q609" s="24"/>
      <c r="R609" s="398"/>
      <c r="S609" s="398"/>
      <c r="T609" s="398"/>
      <c r="U609" s="398"/>
      <c r="V609" s="398"/>
      <c r="W609" s="398"/>
      <c r="X609" s="398"/>
      <c r="Y609" s="398"/>
      <c r="Z609" s="398"/>
      <c r="AA609" s="398"/>
      <c r="AB609" s="200"/>
    </row>
    <row r="610" spans="1:46" ht="19.95" customHeight="1">
      <c r="A610" s="199"/>
      <c r="B610" s="394"/>
      <c r="C610" s="24"/>
      <c r="D610" s="24"/>
      <c r="E610" s="24"/>
      <c r="F610" s="24"/>
      <c r="G610" s="24"/>
      <c r="H610" s="24"/>
      <c r="I610" s="24"/>
      <c r="J610" s="24"/>
      <c r="K610" s="24"/>
      <c r="L610" s="24"/>
      <c r="M610" s="24"/>
      <c r="N610" s="200"/>
      <c r="O610" s="199"/>
      <c r="P610" s="394"/>
      <c r="Q610" s="24"/>
      <c r="R610" s="398"/>
      <c r="S610" s="398"/>
      <c r="T610" s="398"/>
      <c r="U610" s="398"/>
      <c r="V610" s="398"/>
      <c r="W610" s="398"/>
      <c r="X610" s="398"/>
      <c r="Y610" s="398"/>
      <c r="Z610" s="398"/>
      <c r="AA610" s="398"/>
      <c r="AB610" s="200"/>
    </row>
    <row r="611" spans="1:46" ht="19.95" customHeight="1">
      <c r="A611" s="199"/>
      <c r="B611" s="621"/>
      <c r="C611" s="601"/>
      <c r="D611" s="601"/>
      <c r="E611" s="601"/>
      <c r="F611" s="601"/>
      <c r="G611" s="601"/>
      <c r="H611" s="601"/>
      <c r="I611" s="601"/>
      <c r="J611" s="601"/>
      <c r="K611" s="601"/>
      <c r="L611" s="601"/>
      <c r="M611" s="601"/>
      <c r="N611" s="200"/>
      <c r="O611" s="199"/>
      <c r="P611" s="24"/>
      <c r="Q611" s="24"/>
      <c r="R611" s="398"/>
      <c r="S611" s="398"/>
      <c r="T611" s="398"/>
      <c r="U611" s="398"/>
      <c r="V611" s="398"/>
      <c r="W611" s="398"/>
      <c r="X611" s="398"/>
      <c r="Y611" s="398"/>
      <c r="Z611" s="398"/>
      <c r="AA611" s="398"/>
      <c r="AB611" s="200"/>
    </row>
    <row r="612" spans="1:46" ht="19.95" customHeight="1">
      <c r="A612" s="199"/>
      <c r="B612" s="601"/>
      <c r="C612" s="601"/>
      <c r="D612" s="601"/>
      <c r="E612" s="601"/>
      <c r="F612" s="601"/>
      <c r="G612" s="601"/>
      <c r="H612" s="601"/>
      <c r="I612" s="601"/>
      <c r="J612" s="601"/>
      <c r="K612" s="601"/>
      <c r="L612" s="601"/>
      <c r="M612" s="601"/>
      <c r="N612" s="200"/>
      <c r="O612" s="199"/>
      <c r="P612" s="24"/>
      <c r="Q612" s="24"/>
      <c r="R612" s="398"/>
      <c r="S612" s="398"/>
      <c r="T612" s="398"/>
      <c r="U612" s="398"/>
      <c r="V612" s="398"/>
      <c r="W612" s="398"/>
      <c r="X612" s="398"/>
      <c r="Y612" s="398"/>
      <c r="Z612" s="398"/>
      <c r="AA612" s="398"/>
      <c r="AB612" s="200"/>
    </row>
    <row r="613" spans="1:46" ht="19.95" customHeight="1">
      <c r="A613" s="199"/>
      <c r="B613" s="601"/>
      <c r="C613" s="601"/>
      <c r="D613" s="601"/>
      <c r="E613" s="601"/>
      <c r="F613" s="601"/>
      <c r="G613" s="601"/>
      <c r="H613" s="601"/>
      <c r="I613" s="601"/>
      <c r="J613" s="601"/>
      <c r="K613" s="601"/>
      <c r="L613" s="601"/>
      <c r="M613" s="601"/>
      <c r="N613" s="200"/>
      <c r="O613" s="199"/>
      <c r="P613" s="24"/>
      <c r="Q613" s="24"/>
      <c r="R613" s="398"/>
      <c r="S613" s="398"/>
      <c r="T613" s="398"/>
      <c r="U613" s="398"/>
      <c r="V613" s="398"/>
      <c r="W613" s="398"/>
      <c r="X613" s="398"/>
      <c r="Y613" s="398"/>
      <c r="Z613" s="398"/>
      <c r="AA613" s="398"/>
      <c r="AB613" s="200"/>
    </row>
    <row r="614" spans="1:46" ht="19.95" customHeight="1">
      <c r="A614" s="199"/>
      <c r="B614" s="601"/>
      <c r="C614" s="601"/>
      <c r="D614" s="601"/>
      <c r="E614" s="601"/>
      <c r="F614" s="601"/>
      <c r="G614" s="601"/>
      <c r="H614" s="601"/>
      <c r="I614" s="601"/>
      <c r="J614" s="601"/>
      <c r="K614" s="601"/>
      <c r="L614" s="601"/>
      <c r="M614" s="601"/>
      <c r="N614" s="200"/>
      <c r="O614" s="199"/>
      <c r="P614" s="24"/>
      <c r="Q614" s="24"/>
      <c r="R614" s="398"/>
      <c r="S614" s="398"/>
      <c r="T614" s="398"/>
      <c r="U614" s="398"/>
      <c r="V614" s="398"/>
      <c r="W614" s="398"/>
      <c r="X614" s="398"/>
      <c r="Y614" s="398"/>
      <c r="Z614" s="398"/>
      <c r="AA614" s="398"/>
      <c r="AB614" s="200"/>
    </row>
    <row r="615" spans="1:46" ht="19.95" customHeight="1">
      <c r="A615" s="199"/>
      <c r="B615" s="601"/>
      <c r="C615" s="601"/>
      <c r="D615" s="601"/>
      <c r="E615" s="601"/>
      <c r="F615" s="601"/>
      <c r="G615" s="601"/>
      <c r="H615" s="601"/>
      <c r="I615" s="601"/>
      <c r="J615" s="601"/>
      <c r="K615" s="601"/>
      <c r="L615" s="601"/>
      <c r="M615" s="601"/>
      <c r="N615" s="200"/>
      <c r="O615" s="199"/>
      <c r="P615" s="24"/>
      <c r="Q615" s="24"/>
      <c r="R615" s="398"/>
      <c r="S615" s="398"/>
      <c r="T615" s="398"/>
      <c r="U615" s="398"/>
      <c r="V615" s="398"/>
      <c r="W615" s="398"/>
      <c r="X615" s="398"/>
      <c r="Y615" s="398"/>
      <c r="Z615" s="398"/>
      <c r="AA615" s="398"/>
      <c r="AB615" s="200"/>
    </row>
    <row r="616" spans="1:46" ht="19.95" customHeight="1">
      <c r="A616" s="199"/>
      <c r="B616" s="621"/>
      <c r="C616" s="24"/>
      <c r="D616" s="24"/>
      <c r="E616" s="24"/>
      <c r="F616" s="24"/>
      <c r="G616" s="24"/>
      <c r="H616" s="24"/>
      <c r="I616" s="24"/>
      <c r="J616" s="24"/>
      <c r="K616" s="24"/>
      <c r="L616" s="24"/>
      <c r="M616" s="24"/>
      <c r="N616" s="200"/>
      <c r="O616" s="199"/>
      <c r="P616" s="394"/>
      <c r="Q616" s="24"/>
      <c r="R616" s="398"/>
      <c r="S616" s="398"/>
      <c r="T616" s="398"/>
      <c r="U616" s="398"/>
      <c r="V616" s="398"/>
      <c r="W616" s="398"/>
      <c r="X616" s="398"/>
      <c r="Y616" s="398"/>
      <c r="Z616" s="398"/>
      <c r="AA616" s="398"/>
      <c r="AB616" s="200"/>
    </row>
    <row r="617" spans="1:46" ht="19.95" customHeight="1">
      <c r="A617" s="199"/>
      <c r="B617" s="601"/>
      <c r="C617" s="601"/>
      <c r="D617" s="601"/>
      <c r="E617" s="601"/>
      <c r="F617" s="601"/>
      <c r="G617" s="601"/>
      <c r="H617" s="601"/>
      <c r="I617" s="601"/>
      <c r="J617" s="601"/>
      <c r="K617" s="601"/>
      <c r="L617" s="601"/>
      <c r="M617" s="601"/>
      <c r="N617" s="200"/>
      <c r="O617" s="199"/>
      <c r="P617" s="24"/>
      <c r="Q617" s="24"/>
      <c r="R617" s="398"/>
      <c r="S617" s="398"/>
      <c r="T617" s="398"/>
      <c r="U617" s="398"/>
      <c r="V617" s="398"/>
      <c r="W617" s="398"/>
      <c r="X617" s="398"/>
      <c r="Y617" s="398"/>
      <c r="Z617" s="398"/>
      <c r="AA617" s="398"/>
      <c r="AB617" s="200"/>
    </row>
    <row r="618" spans="1:46" ht="19.95" customHeight="1">
      <c r="A618" s="199"/>
      <c r="B618" s="601"/>
      <c r="C618" s="601"/>
      <c r="D618" s="601"/>
      <c r="E618" s="601"/>
      <c r="F618" s="601"/>
      <c r="G618" s="601"/>
      <c r="H618" s="601"/>
      <c r="I618" s="601"/>
      <c r="J618" s="601"/>
      <c r="K618" s="601"/>
      <c r="L618" s="601"/>
      <c r="M618" s="601"/>
      <c r="N618" s="200"/>
      <c r="O618" s="199"/>
      <c r="P618" s="24"/>
      <c r="Q618" s="24"/>
      <c r="R618" s="398"/>
      <c r="S618" s="398"/>
      <c r="T618" s="398"/>
      <c r="U618" s="398"/>
      <c r="V618" s="398"/>
      <c r="W618" s="398"/>
      <c r="X618" s="398"/>
      <c r="Y618" s="398"/>
      <c r="Z618" s="398"/>
      <c r="AA618" s="398"/>
      <c r="AB618" s="200"/>
    </row>
    <row r="619" spans="1:46" ht="19.95" customHeight="1">
      <c r="A619" s="199"/>
      <c r="B619" s="601"/>
      <c r="C619" s="601"/>
      <c r="D619" s="601"/>
      <c r="E619" s="601"/>
      <c r="F619" s="601"/>
      <c r="G619" s="601"/>
      <c r="H619" s="601"/>
      <c r="I619" s="601"/>
      <c r="J619" s="601"/>
      <c r="K619" s="601"/>
      <c r="L619" s="601"/>
      <c r="M619" s="601"/>
      <c r="N619" s="200"/>
      <c r="O619" s="199"/>
      <c r="P619" s="24"/>
      <c r="Q619" s="24"/>
      <c r="R619" s="398"/>
      <c r="S619" s="398"/>
      <c r="T619" s="398"/>
      <c r="U619" s="398"/>
      <c r="V619" s="398"/>
      <c r="W619" s="398"/>
      <c r="X619" s="398"/>
      <c r="Y619" s="398"/>
      <c r="Z619" s="398"/>
      <c r="AA619" s="398"/>
      <c r="AB619" s="200"/>
      <c r="AH619" s="910">
        <v>1</v>
      </c>
      <c r="AI619" s="2" t="str">
        <f>B630</f>
        <v>Name</v>
      </c>
      <c r="AK619" s="2">
        <f>IF(F630=$AK$630,$AJ$630,IF(F630=$AK$631,$AJ$631,IF(F630=$AK$632,$AJ$632,0)))</f>
        <v>0.5</v>
      </c>
      <c r="AM619" s="2">
        <f>IF(H630=$AM$630,$AJ$630,IF(H630=$AM$631,$AJ$631,IF(H630=$AM$632,$AJ$632,0)))</f>
        <v>1</v>
      </c>
      <c r="AO619" s="2">
        <f>IF(J630=$AO$630,$AJ$630,IF(J630=$AO$631,$AJ$631,IF(J630=$AO$632,$AJ$632,0)))</f>
        <v>1</v>
      </c>
      <c r="AQ619" s="2">
        <f>IF(L630=$AQ$630,$AS$630,IF(L630=$AQ$631,$AS$631,IF(L630=$AQ$632,$AS$632,IF(L630=$AQ$633,$AS$633,0))))</f>
        <v>0.33</v>
      </c>
      <c r="AS619" s="37">
        <f>AVERAGE(AK619,AM619,AO619,AQ619)</f>
        <v>0.70750000000000002</v>
      </c>
      <c r="AT619" s="721" t="str">
        <f>IF(AND(AS619&gt;AS$632,AS619&lt;=AS$633),"u",IF(AND(AS619&gt;AS$631,AS619&lt;=AS$632),"q",IF(AND(AS619&gt;AS$630,AS619&lt;=AS$631),"s","")))</f>
        <v>u</v>
      </c>
    </row>
    <row r="620" spans="1:46" ht="19.95" customHeight="1">
      <c r="A620" s="199"/>
      <c r="B620" s="659"/>
      <c r="C620" s="601"/>
      <c r="D620" s="601"/>
      <c r="E620" s="601"/>
      <c r="F620" s="601"/>
      <c r="G620" s="601"/>
      <c r="H620" s="601"/>
      <c r="I620" s="601"/>
      <c r="J620" s="601"/>
      <c r="K620" s="601"/>
      <c r="L620" s="601"/>
      <c r="M620" s="601"/>
      <c r="N620" s="200"/>
      <c r="O620" s="199"/>
      <c r="P620" s="24"/>
      <c r="Q620" s="24"/>
      <c r="R620" s="398"/>
      <c r="S620" s="398"/>
      <c r="T620" s="398"/>
      <c r="U620" s="398"/>
      <c r="V620" s="398"/>
      <c r="W620" s="398"/>
      <c r="X620" s="398"/>
      <c r="Y620" s="398"/>
      <c r="Z620" s="398"/>
      <c r="AA620" s="398"/>
      <c r="AB620" s="200"/>
      <c r="AH620" s="910">
        <v>2</v>
      </c>
      <c r="AI620" s="2" t="str">
        <f>B631</f>
        <v>Name</v>
      </c>
      <c r="AK620" s="2">
        <f>IF(F631=$AK$630,$AJ$630,IF(F631=$AK$631,$AJ$631,IF(F631=$AK$632,$AJ$632,0)))</f>
        <v>0</v>
      </c>
      <c r="AM620" s="2">
        <f>IF(H631=$AM$630,$AJ$630,IF(H631=$AM$631,$AJ$631,IF(H631=$AM$632,$AJ$632,0)))</f>
        <v>0</v>
      </c>
      <c r="AO620" s="2">
        <f>IF(J631=$AO$630,$AJ$630,IF(J631=$AO$631,$AJ$631,IF(J631=$AO$632,$AJ$632,0)))</f>
        <v>0</v>
      </c>
      <c r="AQ620" s="2">
        <f>IF(L631=$AQ$630,$AS$630,IF(L631=$AQ$631,$AS$631,IF(L631=$AQ$632,$AS$632,IF(L631=$AQ$633,$AS$633,0))))</f>
        <v>0</v>
      </c>
      <c r="AS620" s="37">
        <f>AVERAGE(AK620,AM620,AO620,AQ620)</f>
        <v>0</v>
      </c>
      <c r="AT620" s="721" t="str">
        <f>IF(AND(AS620&gt;AS$632,AS620&lt;=AS$633),"u",IF(AND(AS620&gt;AS$631,AS620&lt;=AS$632),"q",IF(AND(AS620&gt;AS$630,AS620&lt;=AS$631),"s","")))</f>
        <v/>
      </c>
    </row>
    <row r="621" spans="1:46" ht="19.95" customHeight="1">
      <c r="A621" s="199"/>
      <c r="B621" s="601"/>
      <c r="C621" s="601"/>
      <c r="D621" s="601"/>
      <c r="E621" s="601"/>
      <c r="F621" s="601"/>
      <c r="G621" s="601"/>
      <c r="H621" s="601"/>
      <c r="I621" s="601"/>
      <c r="J621" s="601"/>
      <c r="K621" s="601"/>
      <c r="L621" s="601"/>
      <c r="M621" s="601"/>
      <c r="N621" s="200"/>
      <c r="O621" s="199"/>
      <c r="P621" s="24"/>
      <c r="Q621" s="24"/>
      <c r="R621" s="398"/>
      <c r="S621" s="398"/>
      <c r="T621" s="398"/>
      <c r="U621" s="398"/>
      <c r="V621" s="398"/>
      <c r="W621" s="398"/>
      <c r="X621" s="398"/>
      <c r="Y621" s="398"/>
      <c r="Z621" s="398"/>
      <c r="AA621" s="398"/>
      <c r="AB621" s="200"/>
      <c r="AH621" s="910">
        <v>3</v>
      </c>
      <c r="AI621" s="2" t="str">
        <f>B632</f>
        <v>Name</v>
      </c>
      <c r="AK621" s="2">
        <f>IF(F632=$AK$630,$AJ$630,IF(F632=$AK$631,$AJ$631,IF(F632=$AK$632,$AJ$632,0)))</f>
        <v>0</v>
      </c>
      <c r="AM621" s="2">
        <f>IF(H632=$AM$630,$AJ$630,IF(H632=$AM$631,$AJ$631,IF(H632=$AM$632,$AJ$632,0)))</f>
        <v>0</v>
      </c>
      <c r="AO621" s="2">
        <f>IF(J632=$AO$630,$AJ$630,IF(J632=$AO$631,$AJ$631,IF(J632=$AO$632,$AJ$632,0)))</f>
        <v>0</v>
      </c>
      <c r="AQ621" s="2">
        <f>IF(L632=$AQ$630,$AS$630,IF(L632=$AQ$631,$AS$631,IF(L632=$AQ$632,$AS$632,IF(L632=$AQ$633,$AS$633,0))))</f>
        <v>0</v>
      </c>
      <c r="AS621" s="37">
        <f>AVERAGE(AK621,AM621,AO621,AQ621)</f>
        <v>0</v>
      </c>
      <c r="AT621" s="721" t="str">
        <f>IF(AND(AS621&gt;AS$632,AS621&lt;=AS$633),"u",IF(AND(AS621&gt;AS$631,AS621&lt;=AS$632),"q",IF(AND(AS621&gt;AS$630,AS621&lt;=AS$631),"s","")))</f>
        <v/>
      </c>
    </row>
    <row r="622" spans="1:46" ht="19.95" customHeight="1">
      <c r="A622" s="199"/>
      <c r="B622" s="601"/>
      <c r="C622" s="391"/>
      <c r="D622" s="391"/>
      <c r="E622" s="391"/>
      <c r="F622" s="391"/>
      <c r="G622" s="601"/>
      <c r="H622" s="601"/>
      <c r="I622" s="601"/>
      <c r="J622" s="601"/>
      <c r="K622" s="601"/>
      <c r="L622" s="601"/>
      <c r="M622" s="601"/>
      <c r="N622" s="200"/>
      <c r="O622" s="199"/>
      <c r="P622" s="24"/>
      <c r="Q622" s="24"/>
      <c r="R622" s="398"/>
      <c r="S622" s="398"/>
      <c r="T622" s="398"/>
      <c r="U622" s="398"/>
      <c r="V622" s="398"/>
      <c r="W622" s="398"/>
      <c r="X622" s="398"/>
      <c r="Y622" s="398"/>
      <c r="Z622" s="398"/>
      <c r="AA622" s="24"/>
      <c r="AB622" s="200"/>
      <c r="AH622" s="910">
        <v>4</v>
      </c>
      <c r="AI622" s="2" t="str">
        <f>B633</f>
        <v>Name</v>
      </c>
      <c r="AK622" s="2">
        <f>IF(F633=$AK$630,$AJ$630,IF(F633=$AK$631,$AJ$631,IF(F633=$AK$632,$AJ$632,0)))</f>
        <v>0</v>
      </c>
      <c r="AM622" s="2">
        <f>IF(H633=$AM$630,$AJ$630,IF(H633=$AM$631,$AJ$631,IF(H633=$AM$632,$AJ$632,0)))</f>
        <v>0</v>
      </c>
      <c r="AO622" s="2">
        <f>IF(J633=$AO$630,$AJ$630,IF(J633=$AO$631,$AJ$631,IF(J633=$AO$632,$AJ$632,0)))</f>
        <v>0</v>
      </c>
      <c r="AQ622" s="2">
        <f>IF(L633=$AQ$630,$AS$630,IF(L633=$AQ$631,$AS$631,IF(L633=$AQ$632,$AS$632,IF(L633=$AQ$633,$AS$633,0))))</f>
        <v>0</v>
      </c>
      <c r="AS622" s="37">
        <f>AVERAGE(AK622,AM622,AO622,AQ622)</f>
        <v>0</v>
      </c>
      <c r="AT622" s="721" t="str">
        <f>IF(AND(AS622&gt;AS$632,AS622&lt;=AS$633),"u",IF(AND(AS622&gt;AS$631,AS622&lt;=AS$632),"q",IF(AND(AS622&gt;AS$630,AS622&lt;=AS$631),"s","")))</f>
        <v/>
      </c>
    </row>
    <row r="623" spans="1:46" ht="19.95" customHeight="1">
      <c r="A623" s="199"/>
      <c r="B623" s="601"/>
      <c r="C623" s="392"/>
      <c r="D623" s="392"/>
      <c r="E623" s="392"/>
      <c r="F623" s="392"/>
      <c r="G623" s="601"/>
      <c r="H623" s="601"/>
      <c r="I623" s="601"/>
      <c r="J623" s="601"/>
      <c r="K623" s="601"/>
      <c r="L623" s="601"/>
      <c r="M623" s="601"/>
      <c r="N623" s="200"/>
      <c r="O623" s="199"/>
      <c r="P623" s="24"/>
      <c r="Q623" s="24"/>
      <c r="R623" s="398"/>
      <c r="S623" s="398"/>
      <c r="T623" s="398"/>
      <c r="U623" s="398"/>
      <c r="V623" s="398"/>
      <c r="W623" s="398"/>
      <c r="X623" s="398"/>
      <c r="Y623" s="398"/>
      <c r="Z623" s="398"/>
      <c r="AA623" s="398"/>
      <c r="AB623" s="200"/>
      <c r="AH623" s="910">
        <v>5</v>
      </c>
      <c r="AI623" s="2" t="str">
        <f>B634</f>
        <v>Name</v>
      </c>
      <c r="AK623" s="2">
        <f>IF(F634=$AK$630,$AJ$630,IF(F634=$AK$631,$AJ$631,IF(F634=$AK$632,$AJ$632,0)))</f>
        <v>0</v>
      </c>
      <c r="AM623" s="2">
        <f>IF(H634=$AM$630,$AJ$630,IF(H634=$AM$631,$AJ$631,IF(H634=$AM$632,$AJ$632,0)))</f>
        <v>0</v>
      </c>
      <c r="AO623" s="2">
        <f>IF(J634=$AO$630,$AJ$630,IF(J634=$AO$631,$AJ$631,IF(J634=$AO$632,$AJ$632,0)))</f>
        <v>0</v>
      </c>
      <c r="AQ623" s="2">
        <f>IF(L634=$AQ$630,$AS$630,IF(L634=$AQ$631,$AS$631,IF(L634=$AQ$632,$AS$632,IF(L634=$AQ$633,$AS$633,0))))</f>
        <v>0</v>
      </c>
      <c r="AS623" s="37">
        <f>AVERAGE(AK623,AM623,AO623,AQ623)</f>
        <v>0</v>
      </c>
      <c r="AT623" s="721" t="str">
        <f>IF(AND(AS623&gt;AS$632,AS623&lt;=AS$633),"u",IF(AND(AS623&gt;AS$631,AS623&lt;=AS$632),"q",IF(AND(AS623&gt;AS$630,AS623&lt;=AS$631),"s","")))</f>
        <v/>
      </c>
    </row>
    <row r="624" spans="1:46" ht="19.95" customHeight="1">
      <c r="A624" s="199"/>
      <c r="B624" s="393"/>
      <c r="C624" s="392"/>
      <c r="D624" s="392"/>
      <c r="E624" s="392"/>
      <c r="F624" s="392"/>
      <c r="G624" s="601"/>
      <c r="H624" s="601"/>
      <c r="I624" s="601"/>
      <c r="J624" s="601"/>
      <c r="K624" s="601"/>
      <c r="L624" s="601"/>
      <c r="M624" s="601"/>
      <c r="N624" s="392"/>
      <c r="O624" s="199"/>
      <c r="P624" s="24"/>
      <c r="Q624" s="24"/>
      <c r="R624" s="398"/>
      <c r="S624" s="398"/>
      <c r="T624" s="398"/>
      <c r="U624" s="398"/>
      <c r="V624" s="398"/>
      <c r="W624" s="398"/>
      <c r="X624" s="398"/>
      <c r="Y624" s="398"/>
      <c r="Z624" s="398"/>
      <c r="AA624" s="398"/>
      <c r="AB624" s="200"/>
    </row>
    <row r="625" spans="1:45" ht="19.95" customHeight="1">
      <c r="A625" s="199"/>
      <c r="B625" s="393"/>
      <c r="C625" s="392"/>
      <c r="D625" s="392"/>
      <c r="E625" s="392"/>
      <c r="F625" s="392"/>
      <c r="G625" s="601"/>
      <c r="H625" s="601"/>
      <c r="I625" s="601"/>
      <c r="J625" s="601"/>
      <c r="K625" s="601"/>
      <c r="L625" s="601"/>
      <c r="M625" s="601"/>
      <c r="N625" s="200"/>
      <c r="O625" s="199"/>
      <c r="P625" s="24"/>
      <c r="Q625" s="24"/>
      <c r="R625" s="398"/>
      <c r="S625" s="398"/>
      <c r="T625" s="398"/>
      <c r="U625" s="398"/>
      <c r="V625" s="398"/>
      <c r="W625" s="398"/>
      <c r="X625" s="398"/>
      <c r="Y625" s="398"/>
      <c r="Z625" s="398"/>
      <c r="AA625" s="398"/>
      <c r="AB625" s="200"/>
    </row>
    <row r="626" spans="1:45" ht="19.95" customHeight="1">
      <c r="A626" s="199"/>
      <c r="B626" s="393"/>
      <c r="C626" s="392"/>
      <c r="D626" s="392"/>
      <c r="E626" s="392"/>
      <c r="F626" s="392"/>
      <c r="G626" s="601"/>
      <c r="H626" s="601"/>
      <c r="I626" s="601"/>
      <c r="J626" s="601"/>
      <c r="K626" s="601"/>
      <c r="L626" s="601"/>
      <c r="M626" s="601"/>
      <c r="N626" s="392"/>
      <c r="O626" s="199"/>
      <c r="P626" s="24"/>
      <c r="Q626" s="24"/>
      <c r="R626" s="398"/>
      <c r="S626" s="398"/>
      <c r="T626" s="398"/>
      <c r="U626" s="398"/>
      <c r="V626" s="398"/>
      <c r="W626" s="398"/>
      <c r="X626" s="398"/>
      <c r="Y626" s="398"/>
      <c r="Z626" s="398"/>
      <c r="AA626" s="398"/>
      <c r="AB626" s="200"/>
    </row>
    <row r="627" spans="1:45" ht="19.95" customHeight="1">
      <c r="A627" s="199"/>
      <c r="B627" s="393"/>
      <c r="C627" s="392"/>
      <c r="D627" s="392"/>
      <c r="E627" s="392"/>
      <c r="F627" s="392"/>
      <c r="G627" s="601"/>
      <c r="H627" s="601"/>
      <c r="I627" s="601"/>
      <c r="J627" s="601"/>
      <c r="K627" s="601"/>
      <c r="L627" s="601"/>
      <c r="M627" s="601"/>
      <c r="N627" s="200"/>
      <c r="O627" s="199"/>
      <c r="P627" s="24"/>
      <c r="Q627" s="24"/>
      <c r="R627" s="398"/>
      <c r="S627" s="398"/>
      <c r="T627" s="398"/>
      <c r="U627" s="398"/>
      <c r="V627" s="398"/>
      <c r="W627" s="398"/>
      <c r="X627" s="398"/>
      <c r="Y627" s="398"/>
      <c r="Z627" s="398"/>
      <c r="AA627" s="398"/>
      <c r="AB627" s="200"/>
    </row>
    <row r="628" spans="1:45" ht="25.05" customHeight="1">
      <c r="A628" s="199"/>
      <c r="B628" s="601"/>
      <c r="C628" s="601"/>
      <c r="D628" s="601"/>
      <c r="E628" s="601"/>
      <c r="F628" s="601"/>
      <c r="G628" s="601"/>
      <c r="H628" s="601"/>
      <c r="I628" s="601"/>
      <c r="J628" s="601"/>
      <c r="K628" s="601"/>
      <c r="L628" s="601"/>
      <c r="M628" s="601"/>
      <c r="N628" s="200"/>
      <c r="O628" s="199"/>
      <c r="P628" s="625"/>
      <c r="Q628" s="24"/>
      <c r="R628" s="398"/>
      <c r="S628" s="398"/>
      <c r="T628" s="398"/>
      <c r="U628" s="398"/>
      <c r="V628" s="398"/>
      <c r="W628" s="398"/>
      <c r="X628" s="398"/>
      <c r="Y628" s="398"/>
      <c r="Z628" s="398"/>
      <c r="AA628" s="398"/>
      <c r="AB628" s="200"/>
    </row>
    <row r="629" spans="1:45" ht="19.95" customHeight="1">
      <c r="A629" s="199"/>
      <c r="B629" s="692" t="s">
        <v>2544</v>
      </c>
      <c r="C629" s="693"/>
      <c r="D629" s="693"/>
      <c r="E629" s="694"/>
      <c r="F629" s="1399" t="s">
        <v>2557</v>
      </c>
      <c r="G629" s="1399"/>
      <c r="H629" s="1399" t="s">
        <v>2435</v>
      </c>
      <c r="I629" s="1399"/>
      <c r="J629" s="1399" t="s">
        <v>2433</v>
      </c>
      <c r="K629" s="1399"/>
      <c r="L629" s="1399" t="s">
        <v>2543</v>
      </c>
      <c r="M629" s="1400"/>
      <c r="N629" s="200"/>
      <c r="O629" s="199"/>
      <c r="P629" s="24"/>
      <c r="Q629" s="24"/>
      <c r="R629" s="398"/>
      <c r="S629" s="398"/>
      <c r="T629" s="398"/>
      <c r="U629" s="398"/>
      <c r="V629" s="398"/>
      <c r="W629" s="398"/>
      <c r="X629" s="398"/>
      <c r="Y629" s="398"/>
      <c r="Z629" s="398"/>
      <c r="AA629" s="398"/>
      <c r="AB629" s="200"/>
      <c r="AK629" s="1374" t="s">
        <v>2557</v>
      </c>
      <c r="AL629" s="1374"/>
      <c r="AM629" s="691" t="s">
        <v>2435</v>
      </c>
      <c r="AN629" s="691"/>
      <c r="AO629" s="691" t="s">
        <v>2433</v>
      </c>
      <c r="AP629" s="691"/>
      <c r="AQ629" s="691" t="s">
        <v>2543</v>
      </c>
      <c r="AR629" s="691"/>
    </row>
    <row r="630" spans="1:45" ht="19.95" customHeight="1">
      <c r="A630" s="695" t="str">
        <f>AT619</f>
        <v>u</v>
      </c>
      <c r="B630" s="1371" t="s">
        <v>2554</v>
      </c>
      <c r="C630" s="1372"/>
      <c r="D630" s="1372"/>
      <c r="E630" s="1373"/>
      <c r="F630" s="1361" t="s">
        <v>2555</v>
      </c>
      <c r="G630" s="1362"/>
      <c r="H630" s="1361" t="s">
        <v>2436</v>
      </c>
      <c r="I630" s="1362"/>
      <c r="J630" s="1361" t="s">
        <v>2559</v>
      </c>
      <c r="K630" s="1362"/>
      <c r="L630" s="1361" t="s">
        <v>2562</v>
      </c>
      <c r="M630" s="1362"/>
      <c r="N630" s="200"/>
      <c r="O630" s="199"/>
      <c r="P630" s="24"/>
      <c r="Q630" s="24"/>
      <c r="R630" s="398"/>
      <c r="S630" s="398"/>
      <c r="T630" s="398"/>
      <c r="U630" s="398"/>
      <c r="V630" s="398"/>
      <c r="W630" s="398"/>
      <c r="X630" s="398"/>
      <c r="Y630" s="398"/>
      <c r="Z630" s="398"/>
      <c r="AA630" s="398"/>
      <c r="AB630" s="200"/>
      <c r="AJ630" s="2">
        <v>1</v>
      </c>
      <c r="AK630" s="2" t="s">
        <v>2556</v>
      </c>
      <c r="AM630" s="2" t="s">
        <v>2436</v>
      </c>
      <c r="AO630" s="2" t="s">
        <v>2559</v>
      </c>
      <c r="AQ630" s="2" t="s">
        <v>2561</v>
      </c>
      <c r="AS630" s="2">
        <v>0</v>
      </c>
    </row>
    <row r="631" spans="1:45" ht="19.95" customHeight="1">
      <c r="A631" s="695" t="str">
        <f>AT620</f>
        <v/>
      </c>
      <c r="B631" s="1371" t="s">
        <v>2554</v>
      </c>
      <c r="C631" s="1372"/>
      <c r="D631" s="1372"/>
      <c r="E631" s="1373"/>
      <c r="F631" s="1361"/>
      <c r="G631" s="1362"/>
      <c r="H631" s="1361"/>
      <c r="I631" s="1362"/>
      <c r="J631" s="1361"/>
      <c r="K631" s="1362"/>
      <c r="L631" s="1361"/>
      <c r="M631" s="1362"/>
      <c r="N631" s="200"/>
      <c r="O631" s="199"/>
      <c r="P631" s="24"/>
      <c r="Q631" s="24"/>
      <c r="R631" s="398"/>
      <c r="S631" s="398"/>
      <c r="T631" s="398"/>
      <c r="U631" s="398"/>
      <c r="V631" s="398"/>
      <c r="W631" s="398"/>
      <c r="X631" s="398"/>
      <c r="Y631" s="398"/>
      <c r="Z631" s="398"/>
      <c r="AA631" s="398"/>
      <c r="AB631" s="200"/>
      <c r="AJ631" s="2">
        <v>0.5</v>
      </c>
      <c r="AK631" s="2" t="s">
        <v>2555</v>
      </c>
      <c r="AM631" s="2" t="s">
        <v>2957</v>
      </c>
      <c r="AO631" s="2" t="s">
        <v>2438</v>
      </c>
      <c r="AQ631" s="2" t="s">
        <v>2562</v>
      </c>
      <c r="AS631" s="2">
        <v>0.33</v>
      </c>
    </row>
    <row r="632" spans="1:45" ht="19.95" customHeight="1">
      <c r="A632" s="695" t="str">
        <f>AT621</f>
        <v/>
      </c>
      <c r="B632" s="1371" t="s">
        <v>2554</v>
      </c>
      <c r="C632" s="1372"/>
      <c r="D632" s="1372"/>
      <c r="E632" s="1373"/>
      <c r="F632" s="1361"/>
      <c r="G632" s="1362"/>
      <c r="H632" s="1361"/>
      <c r="I632" s="1362"/>
      <c r="J632" s="1361"/>
      <c r="K632" s="1362"/>
      <c r="L632" s="1361"/>
      <c r="M632" s="1362"/>
      <c r="N632" s="200"/>
      <c r="O632" s="199"/>
      <c r="P632" s="24"/>
      <c r="Q632" s="24"/>
      <c r="R632" s="398"/>
      <c r="S632" s="398"/>
      <c r="T632" s="398"/>
      <c r="U632" s="398"/>
      <c r="V632" s="398"/>
      <c r="W632" s="398"/>
      <c r="X632" s="398"/>
      <c r="Y632" s="398"/>
      <c r="Z632" s="398"/>
      <c r="AA632" s="398"/>
      <c r="AB632" s="200"/>
      <c r="AJ632" s="2">
        <v>0</v>
      </c>
      <c r="AK632" s="2" t="s">
        <v>2558</v>
      </c>
      <c r="AM632" s="2" t="s">
        <v>2437</v>
      </c>
      <c r="AO632" s="2" t="s">
        <v>2560</v>
      </c>
      <c r="AQ632" s="2" t="s">
        <v>2545</v>
      </c>
      <c r="AS632" s="2">
        <v>0.66</v>
      </c>
    </row>
    <row r="633" spans="1:45" ht="19.95" customHeight="1">
      <c r="A633" s="695" t="str">
        <f>AT622</f>
        <v/>
      </c>
      <c r="B633" s="1371" t="s">
        <v>2554</v>
      </c>
      <c r="C633" s="1372"/>
      <c r="D633" s="1372"/>
      <c r="E633" s="1373"/>
      <c r="F633" s="1361"/>
      <c r="G633" s="1362"/>
      <c r="H633" s="1361"/>
      <c r="I633" s="1362"/>
      <c r="J633" s="1361"/>
      <c r="K633" s="1362"/>
      <c r="L633" s="1361"/>
      <c r="M633" s="1362"/>
      <c r="N633" s="200"/>
      <c r="O633" s="199"/>
      <c r="P633" s="24"/>
      <c r="Q633" s="24"/>
      <c r="R633" s="398"/>
      <c r="S633" s="398"/>
      <c r="T633" s="398"/>
      <c r="U633" s="398"/>
      <c r="V633" s="398"/>
      <c r="W633" s="398"/>
      <c r="X633" s="398"/>
      <c r="Y633" s="398"/>
      <c r="Z633" s="398"/>
      <c r="AA633" s="398"/>
      <c r="AB633" s="200"/>
      <c r="AQ633" s="2" t="s">
        <v>2563</v>
      </c>
      <c r="AS633" s="2">
        <v>1</v>
      </c>
    </row>
    <row r="634" spans="1:45" ht="19.95" customHeight="1">
      <c r="A634" s="695" t="str">
        <f>AT623</f>
        <v/>
      </c>
      <c r="B634" s="1371" t="s">
        <v>2554</v>
      </c>
      <c r="C634" s="1372"/>
      <c r="D634" s="1372"/>
      <c r="E634" s="1373"/>
      <c r="F634" s="1361"/>
      <c r="G634" s="1362"/>
      <c r="H634" s="1361"/>
      <c r="I634" s="1362"/>
      <c r="J634" s="1361"/>
      <c r="K634" s="1362"/>
      <c r="L634" s="1361"/>
      <c r="M634" s="1362"/>
      <c r="N634" s="200"/>
      <c r="O634" s="199"/>
      <c r="P634" s="24"/>
      <c r="Q634" s="24"/>
      <c r="R634" s="398"/>
      <c r="S634" s="398"/>
      <c r="T634" s="398"/>
      <c r="U634" s="398"/>
      <c r="V634" s="398"/>
      <c r="W634" s="398"/>
      <c r="X634" s="398"/>
      <c r="Y634" s="398"/>
      <c r="Z634" s="398"/>
      <c r="AA634" s="398"/>
      <c r="AB634" s="200"/>
    </row>
    <row r="635" spans="1:45" ht="15" customHeight="1">
      <c r="A635" s="199"/>
      <c r="B635" s="24"/>
      <c r="C635" s="24"/>
      <c r="D635" s="24"/>
      <c r="E635" s="24"/>
      <c r="F635" s="24"/>
      <c r="G635" s="24"/>
      <c r="H635" s="24"/>
      <c r="I635" s="24"/>
      <c r="J635" s="24"/>
      <c r="K635" s="24"/>
      <c r="L635" s="24"/>
      <c r="M635" s="24"/>
      <c r="N635" s="200"/>
      <c r="O635" s="199"/>
      <c r="P635" s="24"/>
      <c r="Q635" s="24"/>
      <c r="R635" s="398"/>
      <c r="S635" s="398"/>
      <c r="T635" s="398"/>
      <c r="U635" s="398"/>
      <c r="V635" s="398"/>
      <c r="W635" s="398"/>
      <c r="X635" s="398"/>
      <c r="Y635" s="398"/>
      <c r="Z635" s="398"/>
      <c r="AA635" s="398"/>
      <c r="AB635" s="203"/>
    </row>
    <row r="636" spans="1:45" ht="30" customHeight="1">
      <c r="A636" s="210" t="s">
        <v>1148</v>
      </c>
      <c r="B636" s="1370" t="s">
        <v>2411</v>
      </c>
      <c r="C636" s="1370"/>
      <c r="D636" s="1370"/>
      <c r="E636" s="1370"/>
      <c r="F636" s="1370"/>
      <c r="G636" s="1370"/>
      <c r="H636" s="373"/>
      <c r="I636" s="373"/>
      <c r="J636" s="373"/>
      <c r="K636" s="373"/>
      <c r="L636" s="373"/>
      <c r="M636" s="373"/>
      <c r="N636" s="211" t="s">
        <v>1149</v>
      </c>
      <c r="O636" s="372"/>
      <c r="P636" s="628" t="s">
        <v>2411</v>
      </c>
      <c r="Q636" s="373"/>
      <c r="R636" s="373"/>
      <c r="S636" s="373"/>
      <c r="T636" s="373"/>
      <c r="U636" s="373"/>
      <c r="V636" s="373"/>
      <c r="W636" s="373"/>
      <c r="X636" s="373"/>
      <c r="Y636" s="373"/>
      <c r="Z636" s="373"/>
      <c r="AA636" s="373"/>
      <c r="AB636" s="211" t="s">
        <v>1149</v>
      </c>
    </row>
    <row r="637" spans="1:45" ht="10.050000000000001" customHeight="1">
      <c r="A637" s="199"/>
      <c r="B637" s="24"/>
      <c r="C637" s="24"/>
      <c r="D637" s="24"/>
      <c r="E637" s="24"/>
      <c r="F637" s="24"/>
      <c r="G637" s="24"/>
      <c r="H637" s="24"/>
      <c r="I637" s="24"/>
      <c r="J637" s="24"/>
      <c r="K637" s="24"/>
      <c r="L637" s="24"/>
      <c r="M637" s="24"/>
      <c r="N637" s="200"/>
      <c r="O637" s="199"/>
      <c r="P637" s="24"/>
      <c r="Q637" s="24"/>
      <c r="R637" s="398"/>
      <c r="S637" s="398"/>
      <c r="T637" s="398"/>
      <c r="U637" s="398"/>
      <c r="V637" s="398"/>
      <c r="W637" s="398"/>
      <c r="X637" s="398"/>
      <c r="Y637" s="398"/>
      <c r="Z637" s="398"/>
      <c r="AA637" s="398"/>
      <c r="AB637" s="200"/>
    </row>
    <row r="638" spans="1:45" ht="19.95" customHeight="1">
      <c r="A638" s="199"/>
      <c r="B638" s="719" t="s">
        <v>2734</v>
      </c>
      <c r="C638" s="24"/>
      <c r="D638" s="24"/>
      <c r="E638" s="24"/>
      <c r="F638" s="24"/>
      <c r="G638" s="24"/>
      <c r="H638" s="24"/>
      <c r="I638" s="24"/>
      <c r="J638" s="24"/>
      <c r="K638" s="24"/>
      <c r="L638" s="24"/>
      <c r="M638" s="24"/>
      <c r="N638" s="200"/>
      <c r="O638" s="199"/>
      <c r="P638" s="24"/>
      <c r="Q638" s="24"/>
      <c r="R638" s="398"/>
      <c r="S638" s="398"/>
      <c r="T638" s="398"/>
      <c r="U638" s="398"/>
      <c r="V638" s="398"/>
      <c r="W638" s="398"/>
      <c r="X638" s="398"/>
      <c r="Y638" s="398"/>
      <c r="Z638" s="398"/>
      <c r="AA638" s="398"/>
      <c r="AB638" s="200"/>
      <c r="AI638" s="459" t="str">
        <f>CONCATENATE(AK638,AL638,AM638,AN638,AO638,AP638,AQ638,AR638)</f>
        <v/>
      </c>
      <c r="AK638" s="409"/>
    </row>
    <row r="639" spans="1:45" ht="10.050000000000001" customHeight="1">
      <c r="A639" s="199"/>
      <c r="B639" s="24"/>
      <c r="C639" s="24"/>
      <c r="D639" s="24"/>
      <c r="E639" s="24"/>
      <c r="F639" s="24"/>
      <c r="G639" s="24"/>
      <c r="H639" s="24"/>
      <c r="I639" s="24"/>
      <c r="J639" s="24"/>
      <c r="K639" s="24"/>
      <c r="L639" s="24"/>
      <c r="M639" s="24"/>
      <c r="N639" s="200"/>
      <c r="O639" s="199"/>
      <c r="P639" s="24"/>
      <c r="Q639" s="24"/>
      <c r="R639" s="398"/>
      <c r="S639" s="398"/>
      <c r="T639" s="398"/>
      <c r="U639" s="398"/>
      <c r="V639" s="398"/>
      <c r="W639" s="398"/>
      <c r="X639" s="398"/>
      <c r="Y639" s="398"/>
      <c r="Z639" s="398"/>
      <c r="AA639" s="398"/>
      <c r="AB639" s="200"/>
    </row>
    <row r="640" spans="1:45" ht="25.05" customHeight="1" thickBot="1">
      <c r="A640" s="199"/>
      <c r="B640" s="619" t="s">
        <v>2951</v>
      </c>
      <c r="C640" s="601"/>
      <c r="D640" s="601"/>
      <c r="E640" s="601"/>
      <c r="F640" s="743"/>
      <c r="G640" s="736">
        <v>9</v>
      </c>
      <c r="H640" s="737">
        <f>G640*G642</f>
        <v>3.6</v>
      </c>
      <c r="I640" s="737">
        <f>G640*G643</f>
        <v>5.3999999999999995</v>
      </c>
      <c r="J640" s="665"/>
      <c r="K640" s="738" t="s">
        <v>2419</v>
      </c>
      <c r="L640" s="739"/>
      <c r="M640" s="740" t="s">
        <v>2418</v>
      </c>
      <c r="N640" s="200"/>
      <c r="O640" s="199"/>
      <c r="P640" s="24"/>
      <c r="Q640" s="24"/>
      <c r="R640" s="398"/>
      <c r="S640" s="398"/>
      <c r="T640" s="398"/>
      <c r="U640" s="398"/>
      <c r="V640" s="398"/>
      <c r="W640" s="398"/>
      <c r="X640" s="398"/>
      <c r="Y640" s="24" t="s">
        <v>2454</v>
      </c>
      <c r="Z640" s="398"/>
      <c r="AA640" s="398"/>
      <c r="AB640" s="200"/>
    </row>
    <row r="641" spans="1:28" ht="16.95" customHeight="1" thickBot="1">
      <c r="A641" s="199"/>
      <c r="B641" s="601" t="s">
        <v>2413</v>
      </c>
      <c r="C641" s="601"/>
      <c r="D641" s="601"/>
      <c r="E641" s="615">
        <v>10</v>
      </c>
      <c r="F641" s="743" t="s">
        <v>1149</v>
      </c>
      <c r="G641" s="616">
        <v>0.1</v>
      </c>
      <c r="H641" s="665" t="s">
        <v>2417</v>
      </c>
      <c r="I641" s="665"/>
      <c r="J641" s="665"/>
      <c r="K641" s="741">
        <f>D644*G641</f>
        <v>1</v>
      </c>
      <c r="L641" s="742"/>
      <c r="M641" s="741">
        <f>D644-K641</f>
        <v>9</v>
      </c>
      <c r="N641" s="200"/>
      <c r="O641" s="199"/>
      <c r="P641" s="24"/>
      <c r="Q641" s="24"/>
      <c r="R641" s="398"/>
      <c r="S641" s="398"/>
      <c r="T641" s="398"/>
      <c r="U641" s="398"/>
      <c r="V641" s="398"/>
      <c r="W641" s="398"/>
      <c r="X641" s="398"/>
      <c r="Y641" s="398"/>
      <c r="Z641" s="398"/>
      <c r="AA641" s="398"/>
      <c r="AB641" s="200"/>
    </row>
    <row r="642" spans="1:28" ht="16.95" customHeight="1">
      <c r="A642" s="199"/>
      <c r="B642" s="753">
        <v>0</v>
      </c>
      <c r="C642" s="393" t="s">
        <v>2414</v>
      </c>
      <c r="D642" s="601"/>
      <c r="E642" s="620">
        <f>B642*0</f>
        <v>0</v>
      </c>
      <c r="F642" s="601"/>
      <c r="G642" s="616">
        <v>0.4</v>
      </c>
      <c r="H642" s="665" t="s">
        <v>2933</v>
      </c>
      <c r="I642" s="665"/>
      <c r="J642" s="665"/>
      <c r="K642" s="741">
        <f>IF(D$644&lt;G$640,M641*G642,H$640)</f>
        <v>3.6</v>
      </c>
      <c r="L642" s="742"/>
      <c r="M642" s="741">
        <f>M641-K642</f>
        <v>5.4</v>
      </c>
      <c r="N642" s="200"/>
      <c r="O642" s="199"/>
      <c r="P642" s="24"/>
      <c r="Q642" s="24"/>
      <c r="R642" s="398"/>
      <c r="S642" s="398"/>
      <c r="T642" s="398"/>
      <c r="U642" s="398"/>
      <c r="V642" s="398"/>
      <c r="W642" s="398"/>
      <c r="X642" s="398"/>
      <c r="Y642" s="398"/>
      <c r="Z642" s="398"/>
      <c r="AA642" s="398"/>
      <c r="AB642" s="200"/>
    </row>
    <row r="643" spans="1:28" ht="16.95" customHeight="1">
      <c r="A643" s="199"/>
      <c r="B643" s="753">
        <v>0</v>
      </c>
      <c r="C643" s="393" t="s">
        <v>2415</v>
      </c>
      <c r="D643" s="601"/>
      <c r="E643" s="620">
        <f>B643*(E641/2)</f>
        <v>0</v>
      </c>
      <c r="F643" s="601"/>
      <c r="G643" s="616">
        <f>1-G642</f>
        <v>0.6</v>
      </c>
      <c r="H643" s="665" t="s">
        <v>2934</v>
      </c>
      <c r="I643" s="665"/>
      <c r="J643" s="665"/>
      <c r="K643" s="741">
        <f>IF(D$644&lt;G$640,(M641*G643)-K641,I$640)</f>
        <v>5.3999999999999995</v>
      </c>
      <c r="L643" s="665"/>
      <c r="M643" s="741">
        <f>M642-K643</f>
        <v>0</v>
      </c>
      <c r="N643" s="200"/>
      <c r="O643" s="199"/>
      <c r="P643" s="24"/>
      <c r="Q643" s="24"/>
      <c r="R643" s="398"/>
      <c r="S643" s="398"/>
      <c r="T643" s="398"/>
      <c r="U643" s="398"/>
      <c r="V643" s="398"/>
      <c r="W643" s="398"/>
      <c r="X643" s="398"/>
      <c r="Y643" s="398"/>
      <c r="Z643" s="398"/>
      <c r="AA643" s="398"/>
      <c r="AB643" s="200"/>
    </row>
    <row r="644" spans="1:28" ht="16.95" customHeight="1">
      <c r="A644" s="199"/>
      <c r="B644" s="601" t="s">
        <v>2416</v>
      </c>
      <c r="C644" s="601"/>
      <c r="D644" s="1369">
        <f>SUM(E639:E643)</f>
        <v>10</v>
      </c>
      <c r="E644" s="1369"/>
      <c r="F644" s="627" t="s">
        <v>2424</v>
      </c>
      <c r="G644" s="616"/>
      <c r="H644" s="665" t="s">
        <v>2420</v>
      </c>
      <c r="I644" s="476"/>
      <c r="J644" s="476"/>
      <c r="K644" s="741">
        <f>IF(M643&gt;0,M643,0)</f>
        <v>0</v>
      </c>
      <c r="L644" s="476"/>
      <c r="M644" s="741">
        <f>M643-K644</f>
        <v>0</v>
      </c>
      <c r="N644" s="200"/>
      <c r="O644" s="199"/>
      <c r="P644" s="24"/>
      <c r="Q644" s="24"/>
      <c r="R644" s="398"/>
      <c r="S644" s="398"/>
      <c r="T644" s="398"/>
      <c r="U644" s="398"/>
      <c r="V644" s="398"/>
      <c r="W644" s="398"/>
      <c r="X644" s="398"/>
      <c r="Y644" s="398"/>
      <c r="Z644" s="398"/>
      <c r="AA644" s="398"/>
      <c r="AB644" s="200"/>
    </row>
    <row r="645" spans="1:28" ht="10.050000000000001" customHeight="1">
      <c r="A645" s="199"/>
      <c r="B645" s="24"/>
      <c r="C645" s="24"/>
      <c r="D645" s="24"/>
      <c r="E645" s="24"/>
      <c r="F645" s="24"/>
      <c r="G645" s="24"/>
      <c r="H645" s="24"/>
      <c r="I645" s="24"/>
      <c r="J645" s="24"/>
      <c r="K645" s="24"/>
      <c r="L645" s="24"/>
      <c r="M645" s="24"/>
      <c r="N645" s="200"/>
      <c r="O645" s="199"/>
      <c r="P645" s="24"/>
      <c r="Q645" s="24"/>
      <c r="R645" s="398"/>
      <c r="S645" s="398"/>
      <c r="T645" s="398"/>
      <c r="U645" s="398"/>
      <c r="V645" s="398"/>
      <c r="W645" s="398"/>
      <c r="X645" s="398"/>
      <c r="Y645" s="398"/>
      <c r="Z645" s="398"/>
      <c r="AA645" s="398"/>
      <c r="AB645" s="200"/>
    </row>
    <row r="646" spans="1:28" ht="25.05" customHeight="1" thickBot="1">
      <c r="A646" s="199"/>
      <c r="B646" s="619" t="s">
        <v>2421</v>
      </c>
      <c r="C646" s="601"/>
      <c r="D646" s="601"/>
      <c r="E646" s="601"/>
      <c r="F646" s="743"/>
      <c r="G646" s="736">
        <v>45</v>
      </c>
      <c r="H646" s="737">
        <f>G646*G648</f>
        <v>18</v>
      </c>
      <c r="I646" s="737">
        <f>G646*G649</f>
        <v>27</v>
      </c>
      <c r="J646" s="665"/>
      <c r="K646" s="738" t="s">
        <v>2419</v>
      </c>
      <c r="L646" s="739"/>
      <c r="M646" s="740" t="s">
        <v>2418</v>
      </c>
      <c r="N646" s="200"/>
      <c r="O646" s="199"/>
      <c r="P646" s="24"/>
      <c r="Q646" s="24"/>
      <c r="R646" s="398"/>
      <c r="S646" s="398"/>
      <c r="T646" s="398"/>
      <c r="U646" s="398"/>
      <c r="V646" s="398"/>
      <c r="W646" s="398"/>
      <c r="X646" s="398"/>
      <c r="Y646" s="24" t="s">
        <v>2454</v>
      </c>
      <c r="Z646" s="398"/>
      <c r="AA646" s="398"/>
      <c r="AB646" s="200"/>
    </row>
    <row r="647" spans="1:28" ht="16.95" customHeight="1" thickBot="1">
      <c r="A647" s="199"/>
      <c r="B647" s="601" t="s">
        <v>2413</v>
      </c>
      <c r="C647" s="601"/>
      <c r="D647" s="601"/>
      <c r="E647" s="615">
        <v>10</v>
      </c>
      <c r="F647" s="743"/>
      <c r="G647" s="616">
        <v>0.1</v>
      </c>
      <c r="H647" s="665" t="s">
        <v>2417</v>
      </c>
      <c r="I647" s="665"/>
      <c r="J647" s="665"/>
      <c r="K647" s="741">
        <f>D650*G647</f>
        <v>3.5</v>
      </c>
      <c r="L647" s="742"/>
      <c r="M647" s="741">
        <f>D650-K647</f>
        <v>31.5</v>
      </c>
      <c r="N647" s="200"/>
      <c r="O647" s="199"/>
      <c r="P647" s="24"/>
      <c r="Q647" s="24"/>
      <c r="R647" s="398"/>
      <c r="S647" s="398"/>
      <c r="T647" s="398"/>
      <c r="U647" s="398"/>
      <c r="V647" s="398"/>
      <c r="W647" s="398"/>
      <c r="X647" s="398"/>
      <c r="Y647" s="398"/>
      <c r="Z647" s="398"/>
      <c r="AA647" s="398"/>
      <c r="AB647" s="200"/>
    </row>
    <row r="648" spans="1:28" ht="16.95" customHeight="1">
      <c r="A648" s="199"/>
      <c r="B648" s="617">
        <v>12</v>
      </c>
      <c r="C648" s="393" t="s">
        <v>2414</v>
      </c>
      <c r="D648" s="601"/>
      <c r="E648" s="620">
        <f>B648*0</f>
        <v>0</v>
      </c>
      <c r="F648" s="601"/>
      <c r="G648" s="616">
        <v>0.4</v>
      </c>
      <c r="H648" s="665" t="s">
        <v>2933</v>
      </c>
      <c r="I648" s="665"/>
      <c r="J648" s="665"/>
      <c r="K648" s="741">
        <f>IF(D$650&lt;G$646,D650*G648,H$646)</f>
        <v>14</v>
      </c>
      <c r="L648" s="742"/>
      <c r="M648" s="741">
        <f>M647-K648</f>
        <v>17.5</v>
      </c>
      <c r="N648" s="200"/>
      <c r="O648" s="199"/>
      <c r="P648" s="24"/>
      <c r="Q648" s="24"/>
      <c r="R648" s="398"/>
      <c r="S648" s="398"/>
      <c r="T648" s="398"/>
      <c r="U648" s="398"/>
      <c r="V648" s="398"/>
      <c r="W648" s="398"/>
      <c r="X648" s="398"/>
      <c r="Y648" s="398"/>
      <c r="Z648" s="398"/>
      <c r="AA648" s="398"/>
      <c r="AB648" s="200"/>
    </row>
    <row r="649" spans="1:28" ht="16.95" customHeight="1">
      <c r="A649" s="199"/>
      <c r="B649" s="617">
        <v>5</v>
      </c>
      <c r="C649" s="393" t="s">
        <v>2415</v>
      </c>
      <c r="D649" s="601"/>
      <c r="E649" s="620">
        <f>B649*(E647/2)</f>
        <v>25</v>
      </c>
      <c r="F649" s="601"/>
      <c r="G649" s="616">
        <f>1-G648</f>
        <v>0.6</v>
      </c>
      <c r="H649" s="665" t="s">
        <v>2934</v>
      </c>
      <c r="I649" s="665"/>
      <c r="J649" s="665"/>
      <c r="K649" s="741">
        <f>IF(D$650&lt;G$646,(D650*G649)-K647,I$646)</f>
        <v>17.5</v>
      </c>
      <c r="L649" s="665"/>
      <c r="M649" s="741">
        <f>M648-K649</f>
        <v>0</v>
      </c>
      <c r="N649" s="200"/>
      <c r="O649" s="199"/>
      <c r="P649" s="24"/>
      <c r="Q649" s="24"/>
      <c r="R649" s="398"/>
      <c r="S649" s="398"/>
      <c r="T649" s="398"/>
      <c r="U649" s="398"/>
      <c r="V649" s="398"/>
      <c r="W649" s="398"/>
      <c r="X649" s="398"/>
      <c r="Y649" s="398"/>
      <c r="Z649" s="398"/>
      <c r="AA649" s="398"/>
      <c r="AB649" s="200"/>
    </row>
    <row r="650" spans="1:28" ht="16.95" customHeight="1">
      <c r="A650" s="199"/>
      <c r="B650" s="601" t="s">
        <v>2416</v>
      </c>
      <c r="C650" s="601"/>
      <c r="D650" s="1369">
        <f>SUM(E645:E649)</f>
        <v>35</v>
      </c>
      <c r="E650" s="1369"/>
      <c r="F650" s="627" t="s">
        <v>2424</v>
      </c>
      <c r="G650" s="616"/>
      <c r="H650" s="665" t="s">
        <v>2420</v>
      </c>
      <c r="I650" s="476"/>
      <c r="J650" s="476"/>
      <c r="K650" s="741">
        <f>IF(M649&gt;0,M649,0)</f>
        <v>0</v>
      </c>
      <c r="L650" s="756" t="s">
        <v>2424</v>
      </c>
      <c r="M650" s="741">
        <f>M649-K650</f>
        <v>0</v>
      </c>
      <c r="N650" s="200"/>
      <c r="O650" s="199"/>
      <c r="P650" s="24"/>
      <c r="Q650" s="24"/>
      <c r="R650" s="398"/>
      <c r="S650" s="398"/>
      <c r="T650" s="398"/>
      <c r="U650" s="398"/>
      <c r="V650" s="398"/>
      <c r="W650" s="398"/>
      <c r="X650" s="398"/>
      <c r="Y650" s="398"/>
      <c r="Z650" s="398"/>
      <c r="AA650" s="398"/>
      <c r="AB650" s="200"/>
    </row>
    <row r="651" spans="1:28" ht="10.050000000000001" customHeight="1">
      <c r="A651" s="199"/>
      <c r="B651" s="601"/>
      <c r="C651" s="601"/>
      <c r="D651" s="601"/>
      <c r="E651" s="601"/>
      <c r="F651" s="601"/>
      <c r="G651" s="665"/>
      <c r="H651" s="665"/>
      <c r="I651" s="665"/>
      <c r="J651" s="665"/>
      <c r="K651" s="665"/>
      <c r="L651" s="665"/>
      <c r="M651" s="665"/>
      <c r="N651" s="200"/>
      <c r="O651" s="199"/>
      <c r="P651" s="24"/>
      <c r="Q651" s="24"/>
      <c r="R651" s="398"/>
      <c r="S651" s="398"/>
      <c r="T651" s="398"/>
      <c r="U651" s="398"/>
      <c r="V651" s="398"/>
      <c r="W651" s="398"/>
      <c r="X651" s="398"/>
      <c r="Y651" s="398"/>
      <c r="Z651" s="398"/>
      <c r="AA651" s="398"/>
      <c r="AB651" s="200"/>
    </row>
    <row r="652" spans="1:28" ht="19.95" customHeight="1" thickBot="1">
      <c r="A652" s="199"/>
      <c r="B652" s="619" t="s">
        <v>2412</v>
      </c>
      <c r="C652" s="601"/>
      <c r="D652" s="601"/>
      <c r="E652" s="601"/>
      <c r="F652" s="601"/>
      <c r="G652" s="736">
        <v>90</v>
      </c>
      <c r="H652" s="737">
        <f>G652*G654</f>
        <v>36</v>
      </c>
      <c r="I652" s="737">
        <f>G652*G655</f>
        <v>54</v>
      </c>
      <c r="J652" s="665"/>
      <c r="K652" s="738" t="s">
        <v>2419</v>
      </c>
      <c r="L652" s="739"/>
      <c r="M652" s="740" t="s">
        <v>2418</v>
      </c>
      <c r="N652" s="200"/>
      <c r="O652" s="199"/>
      <c r="P652" s="24"/>
      <c r="Q652" s="24"/>
      <c r="R652" s="398"/>
      <c r="S652" s="398"/>
      <c r="T652" s="398"/>
      <c r="U652" s="398"/>
      <c r="V652" s="398"/>
      <c r="W652" s="398"/>
      <c r="X652" s="398"/>
      <c r="Y652" s="398"/>
      <c r="Z652" s="398"/>
      <c r="AA652" s="398"/>
      <c r="AB652" s="200"/>
    </row>
    <row r="653" spans="1:28" ht="16.95" customHeight="1" thickBot="1">
      <c r="A653" s="199"/>
      <c r="B653" s="601" t="s">
        <v>2413</v>
      </c>
      <c r="C653" s="601"/>
      <c r="D653" s="601"/>
      <c r="E653" s="615">
        <v>10</v>
      </c>
      <c r="F653" s="601"/>
      <c r="G653" s="616">
        <v>0.1</v>
      </c>
      <c r="H653" s="665" t="str">
        <f>H641</f>
        <v>to platform</v>
      </c>
      <c r="I653" s="665"/>
      <c r="J653" s="665"/>
      <c r="K653" s="741">
        <f>D657*G653</f>
        <v>23</v>
      </c>
      <c r="L653" s="742"/>
      <c r="M653" s="741">
        <f>D657-K653</f>
        <v>207</v>
      </c>
      <c r="N653" s="200"/>
      <c r="O653" s="199"/>
      <c r="P653" s="24"/>
      <c r="Q653" s="24"/>
      <c r="R653" s="398"/>
      <c r="S653" s="398"/>
      <c r="T653" s="398"/>
      <c r="U653" s="398"/>
      <c r="V653" s="398"/>
      <c r="W653" s="398"/>
      <c r="X653" s="398"/>
      <c r="Y653" s="398"/>
      <c r="Z653" s="398"/>
      <c r="AA653" s="398"/>
      <c r="AB653" s="200"/>
    </row>
    <row r="654" spans="1:28" ht="16.95" customHeight="1">
      <c r="A654" s="199"/>
      <c r="B654" s="617">
        <v>50</v>
      </c>
      <c r="C654" s="393" t="s">
        <v>2414</v>
      </c>
      <c r="D654" s="601"/>
      <c r="E654" s="620">
        <f>B654*0</f>
        <v>0</v>
      </c>
      <c r="F654" s="601"/>
      <c r="G654" s="616">
        <v>0.4</v>
      </c>
      <c r="H654" s="665" t="str">
        <f>H642</f>
        <v>to advocate</v>
      </c>
      <c r="I654" s="665"/>
      <c r="J654" s="665"/>
      <c r="K654" s="741">
        <f>IF(D657&lt;G652,D657*G654,H652)</f>
        <v>36</v>
      </c>
      <c r="L654" s="742"/>
      <c r="M654" s="741">
        <f>M653-K654</f>
        <v>171</v>
      </c>
      <c r="N654" s="200"/>
      <c r="O654" s="199"/>
      <c r="P654" s="24"/>
      <c r="Q654" s="24"/>
      <c r="R654" s="398"/>
      <c r="S654" s="398"/>
      <c r="T654" s="398"/>
      <c r="U654" s="398"/>
      <c r="V654" s="398"/>
      <c r="W654" s="398"/>
      <c r="X654" s="398"/>
      <c r="Y654" s="398"/>
      <c r="Z654" s="398"/>
      <c r="AA654" s="398"/>
      <c r="AB654" s="200"/>
    </row>
    <row r="655" spans="1:28" ht="16.95" customHeight="1">
      <c r="A655" s="199"/>
      <c r="B655" s="617">
        <v>16</v>
      </c>
      <c r="C655" s="393" t="s">
        <v>2415</v>
      </c>
      <c r="D655" s="601"/>
      <c r="E655" s="620">
        <f>B655*E653</f>
        <v>160</v>
      </c>
      <c r="F655" s="601"/>
      <c r="G655" s="616">
        <f>1-G654</f>
        <v>0.6</v>
      </c>
      <c r="H655" s="665" t="str">
        <f>H643</f>
        <v>to guide</v>
      </c>
      <c r="I655" s="665"/>
      <c r="J655" s="665"/>
      <c r="K655" s="741">
        <f>IF(D657&lt;G652,(D657*G655)-K653,I652)</f>
        <v>54</v>
      </c>
      <c r="L655" s="665"/>
      <c r="M655" s="741">
        <f>M654-K655</f>
        <v>117</v>
      </c>
      <c r="N655" s="200"/>
      <c r="O655" s="199"/>
      <c r="P655" s="24"/>
      <c r="Q655" s="24"/>
      <c r="R655" s="398"/>
      <c r="S655" s="398"/>
      <c r="T655" s="398"/>
      <c r="U655" s="398"/>
      <c r="V655" s="398"/>
      <c r="W655" s="398"/>
      <c r="X655" s="398"/>
      <c r="Y655" s="398"/>
      <c r="Z655" s="398"/>
      <c r="AA655" s="398"/>
      <c r="AB655" s="200"/>
    </row>
    <row r="656" spans="1:28" ht="16.95" customHeight="1">
      <c r="A656" s="199"/>
      <c r="B656" s="617">
        <v>3</v>
      </c>
      <c r="C656" s="393" t="s">
        <v>2956</v>
      </c>
      <c r="D656" s="601"/>
      <c r="E656" s="620">
        <f>(E653*2)*B656</f>
        <v>60</v>
      </c>
      <c r="F656" s="601"/>
      <c r="G656" s="616"/>
      <c r="H656" s="665" t="str">
        <f>H644</f>
        <v>to campaign</v>
      </c>
      <c r="I656" s="476"/>
      <c r="J656" s="476"/>
      <c r="K656" s="741">
        <f>IF(M655&gt;0,M655,0)</f>
        <v>117</v>
      </c>
      <c r="L656" s="756" t="s">
        <v>2424</v>
      </c>
      <c r="M656" s="741">
        <f>M655-K656</f>
        <v>0</v>
      </c>
      <c r="N656" s="200"/>
      <c r="O656" s="199"/>
      <c r="P656" s="24"/>
      <c r="Q656" s="24"/>
      <c r="R656" s="398"/>
      <c r="S656" s="398"/>
      <c r="T656" s="398"/>
      <c r="U656" s="398"/>
      <c r="V656" s="398"/>
      <c r="W656" s="398"/>
      <c r="X656" s="398"/>
      <c r="Y656" s="398"/>
      <c r="Z656" s="398"/>
      <c r="AA656" s="398"/>
      <c r="AB656" s="200"/>
    </row>
    <row r="657" spans="1:41" ht="16.95" customHeight="1">
      <c r="A657" s="199"/>
      <c r="B657" s="601" t="s">
        <v>2416</v>
      </c>
      <c r="C657" s="601"/>
      <c r="D657" s="1369">
        <f>SUM(E652:E656)</f>
        <v>230</v>
      </c>
      <c r="E657" s="1369"/>
      <c r="F657" s="627" t="s">
        <v>2424</v>
      </c>
      <c r="G657" s="476"/>
      <c r="H657" s="476"/>
      <c r="I657" s="476"/>
      <c r="J657" s="476"/>
      <c r="K657" s="476"/>
      <c r="L657" s="476"/>
      <c r="M657" s="476"/>
      <c r="N657" s="200"/>
      <c r="O657" s="199"/>
      <c r="P657" s="24"/>
      <c r="Q657" s="24"/>
      <c r="R657" s="398"/>
      <c r="S657" s="398"/>
      <c r="T657" s="398"/>
      <c r="U657" s="398"/>
      <c r="V657" s="398"/>
      <c r="W657" s="398"/>
      <c r="X657" s="398"/>
      <c r="Y657" s="398"/>
      <c r="Z657" s="398"/>
      <c r="AA657" s="398"/>
      <c r="AB657" s="200"/>
    </row>
    <row r="658" spans="1:41" ht="10.050000000000001" customHeight="1">
      <c r="A658" s="199"/>
      <c r="B658" s="601"/>
      <c r="C658" s="601"/>
      <c r="D658" s="601"/>
      <c r="E658" s="24"/>
      <c r="F658" s="24"/>
      <c r="G658" s="476"/>
      <c r="H658" s="476"/>
      <c r="I658" s="476"/>
      <c r="J658" s="476"/>
      <c r="K658" s="476"/>
      <c r="L658" s="476"/>
      <c r="M658" s="476"/>
      <c r="N658" s="200"/>
      <c r="O658" s="199"/>
      <c r="P658" s="24"/>
      <c r="Q658" s="24"/>
      <c r="R658" s="398"/>
      <c r="S658" s="398"/>
      <c r="T658" s="398"/>
      <c r="U658" s="398"/>
      <c r="V658" s="398"/>
      <c r="W658" s="398"/>
      <c r="X658" s="398"/>
      <c r="Y658" s="398"/>
      <c r="Z658" s="398"/>
      <c r="AA658" s="398"/>
      <c r="AB658" s="200"/>
    </row>
    <row r="659" spans="1:41" ht="19.95" customHeight="1" thickBot="1">
      <c r="A659" s="199"/>
      <c r="B659" s="619" t="s">
        <v>2422</v>
      </c>
      <c r="C659" s="601"/>
      <c r="D659" s="601"/>
      <c r="E659" s="601"/>
      <c r="F659" s="601"/>
      <c r="G659" s="736">
        <v>180</v>
      </c>
      <c r="H659" s="737">
        <f>G659*G661</f>
        <v>62.999999999999993</v>
      </c>
      <c r="I659" s="737">
        <f>G659*G662</f>
        <v>117</v>
      </c>
      <c r="J659" s="665"/>
      <c r="K659" s="738" t="s">
        <v>2419</v>
      </c>
      <c r="L659" s="739"/>
      <c r="M659" s="740" t="s">
        <v>2418</v>
      </c>
      <c r="N659" s="200"/>
      <c r="O659" s="199"/>
      <c r="P659" s="24"/>
      <c r="Q659" s="24"/>
      <c r="R659" s="398"/>
      <c r="S659" s="398"/>
      <c r="T659" s="398"/>
      <c r="U659" s="398"/>
      <c r="V659" s="398"/>
      <c r="W659" s="398"/>
      <c r="X659" s="398"/>
      <c r="Y659" s="398"/>
      <c r="Z659" s="398"/>
      <c r="AA659" s="398"/>
      <c r="AB659" s="200"/>
    </row>
    <row r="660" spans="1:41" ht="16.95" customHeight="1" thickBot="1">
      <c r="A660" s="199"/>
      <c r="B660" s="601" t="s">
        <v>2413</v>
      </c>
      <c r="C660" s="601"/>
      <c r="D660" s="601"/>
      <c r="E660" s="615">
        <f>E653</f>
        <v>10</v>
      </c>
      <c r="F660" s="601"/>
      <c r="G660" s="616">
        <v>0.1</v>
      </c>
      <c r="H660" s="665" t="str">
        <f>H653</f>
        <v>to platform</v>
      </c>
      <c r="I660" s="665"/>
      <c r="J660" s="665"/>
      <c r="K660" s="741">
        <f>D665*G660</f>
        <v>27</v>
      </c>
      <c r="L660" s="742"/>
      <c r="M660" s="741">
        <f>D665-K660</f>
        <v>243</v>
      </c>
      <c r="N660" s="200"/>
      <c r="O660" s="199"/>
      <c r="P660" s="24"/>
      <c r="Q660" s="24"/>
      <c r="R660" s="398"/>
      <c r="S660" s="398"/>
      <c r="T660" s="398"/>
      <c r="U660" s="398"/>
      <c r="V660" s="398"/>
      <c r="W660" s="398"/>
      <c r="X660" s="398"/>
      <c r="Y660" s="398"/>
      <c r="Z660" s="398"/>
      <c r="AA660" s="398"/>
      <c r="AB660" s="200"/>
    </row>
    <row r="661" spans="1:41" ht="16.95" customHeight="1">
      <c r="A661" s="199"/>
      <c r="B661" s="617">
        <v>70</v>
      </c>
      <c r="C661" s="393" t="s">
        <v>2414</v>
      </c>
      <c r="D661" s="601"/>
      <c r="E661" s="620">
        <f>B661*0</f>
        <v>0</v>
      </c>
      <c r="F661" s="601"/>
      <c r="G661" s="616">
        <v>0.35</v>
      </c>
      <c r="H661" s="665" t="str">
        <f>H654</f>
        <v>to advocate</v>
      </c>
      <c r="I661" s="665"/>
      <c r="J661" s="665"/>
      <c r="K661" s="741">
        <f>IF(D665&lt;G659,D665*G661,H659)</f>
        <v>62.999999999999993</v>
      </c>
      <c r="L661" s="742"/>
      <c r="M661" s="741">
        <f>M660-K661</f>
        <v>180</v>
      </c>
      <c r="N661" s="200"/>
      <c r="O661" s="199"/>
      <c r="P661" s="24"/>
      <c r="Q661" s="24"/>
      <c r="R661" s="398"/>
      <c r="S661" s="398"/>
      <c r="T661" s="398"/>
      <c r="U661" s="398"/>
      <c r="V661" s="398"/>
      <c r="W661" s="398"/>
      <c r="X661" s="398"/>
      <c r="Y661" s="398"/>
      <c r="Z661" s="398"/>
      <c r="AA661" s="398"/>
      <c r="AB661" s="200"/>
    </row>
    <row r="662" spans="1:41" ht="16.95" customHeight="1">
      <c r="A662" s="199"/>
      <c r="B662" s="617">
        <v>12</v>
      </c>
      <c r="C662" s="393" t="s">
        <v>2415</v>
      </c>
      <c r="D662" s="601"/>
      <c r="E662" s="620">
        <f>B662*E660</f>
        <v>120</v>
      </c>
      <c r="F662" s="601"/>
      <c r="G662" s="616">
        <f>1-G661</f>
        <v>0.65</v>
      </c>
      <c r="H662" s="665" t="str">
        <f>H655</f>
        <v>to guide</v>
      </c>
      <c r="I662" s="665"/>
      <c r="J662" s="665"/>
      <c r="K662" s="741">
        <f>IF(D665&lt;G659,(D665*G662)-K660,I659)</f>
        <v>117</v>
      </c>
      <c r="L662" s="665"/>
      <c r="M662" s="741">
        <f>M661-K662</f>
        <v>63</v>
      </c>
      <c r="N662" s="200"/>
      <c r="O662" s="199"/>
      <c r="P662" s="24"/>
      <c r="Q662" s="24"/>
      <c r="R662" s="398"/>
      <c r="S662" s="398"/>
      <c r="T662" s="398"/>
      <c r="U662" s="398"/>
      <c r="V662" s="398"/>
      <c r="W662" s="398"/>
      <c r="X662" s="398"/>
      <c r="Y662" s="398"/>
      <c r="Z662" s="398"/>
      <c r="AA662" s="398"/>
      <c r="AB662" s="200"/>
    </row>
    <row r="663" spans="1:41" ht="16.95" customHeight="1">
      <c r="A663" s="199"/>
      <c r="B663" s="617">
        <v>3</v>
      </c>
      <c r="C663" s="393" t="s">
        <v>2956</v>
      </c>
      <c r="D663" s="601"/>
      <c r="E663" s="620">
        <f>(E660*2)*B663</f>
        <v>60</v>
      </c>
      <c r="F663" s="601"/>
      <c r="G663" s="616"/>
      <c r="H663" s="665" t="str">
        <f>H656</f>
        <v>to campaign</v>
      </c>
      <c r="I663" s="665"/>
      <c r="J663" s="665"/>
      <c r="K663" s="741">
        <f>IF(M662&gt;0,M662,0)</f>
        <v>63</v>
      </c>
      <c r="L663" s="756" t="s">
        <v>2424</v>
      </c>
      <c r="M663" s="741">
        <f>M662-K663</f>
        <v>0</v>
      </c>
      <c r="N663" s="200"/>
      <c r="O663" s="199"/>
      <c r="P663" s="24"/>
      <c r="Q663" s="24"/>
      <c r="R663" s="398"/>
      <c r="S663" s="398"/>
      <c r="T663" s="398"/>
      <c r="U663" s="398"/>
      <c r="V663" s="398"/>
      <c r="W663" s="398"/>
      <c r="X663" s="398"/>
      <c r="Y663" s="398"/>
      <c r="Z663" s="398"/>
      <c r="AA663" s="398"/>
      <c r="AB663" s="200"/>
    </row>
    <row r="664" spans="1:41" ht="16.95" customHeight="1">
      <c r="A664" s="199"/>
      <c r="B664" s="617">
        <v>2</v>
      </c>
      <c r="C664" s="393" t="s">
        <v>2955</v>
      </c>
      <c r="D664" s="601"/>
      <c r="E664" s="620">
        <f>(E660*4)*B664</f>
        <v>80</v>
      </c>
      <c r="F664" s="601"/>
      <c r="G664" s="476"/>
      <c r="H664" s="476"/>
      <c r="I664" s="476"/>
      <c r="J664" s="476"/>
      <c r="K664" s="476"/>
      <c r="L664" s="476"/>
      <c r="M664" s="476"/>
      <c r="N664" s="200"/>
      <c r="O664" s="199"/>
      <c r="P664" s="24"/>
      <c r="Q664" s="24"/>
      <c r="R664" s="398"/>
      <c r="S664" s="398"/>
      <c r="T664" s="398"/>
      <c r="U664" s="398"/>
      <c r="V664" s="398"/>
      <c r="W664" s="398"/>
      <c r="X664" s="398"/>
      <c r="Y664" s="398"/>
      <c r="Z664" s="398"/>
      <c r="AA664" s="398"/>
      <c r="AB664" s="200"/>
    </row>
    <row r="665" spans="1:41" ht="16.95" customHeight="1">
      <c r="A665" s="199"/>
      <c r="B665" s="601" t="s">
        <v>2416</v>
      </c>
      <c r="C665" s="601"/>
      <c r="D665" s="1369">
        <f>SUM(E660:E664)</f>
        <v>270</v>
      </c>
      <c r="E665" s="1369"/>
      <c r="F665" s="627" t="s">
        <v>2424</v>
      </c>
      <c r="G665" s="476"/>
      <c r="H665" s="476"/>
      <c r="I665" s="476"/>
      <c r="J665" s="476"/>
      <c r="K665" s="476"/>
      <c r="L665" s="476"/>
      <c r="M665" s="476"/>
      <c r="N665" s="200"/>
      <c r="O665" s="199"/>
      <c r="P665" s="24"/>
      <c r="Q665" s="24"/>
      <c r="R665" s="398"/>
      <c r="S665" s="398"/>
      <c r="T665" s="398"/>
      <c r="U665" s="398"/>
      <c r="V665" s="398"/>
      <c r="W665" s="398"/>
      <c r="X665" s="398"/>
      <c r="Y665" s="398"/>
      <c r="Z665" s="398"/>
      <c r="AA665" s="398"/>
      <c r="AB665" s="200"/>
      <c r="AI665" s="459">
        <f>IF(OR($I$1270=0,$B$1300=""),AK665,AI667)</f>
        <v>0</v>
      </c>
      <c r="AK665" s="465"/>
    </row>
    <row r="666" spans="1:41" ht="10.050000000000001" customHeight="1">
      <c r="A666" s="199"/>
      <c r="B666" s="601"/>
      <c r="C666" s="601"/>
      <c r="D666" s="601"/>
      <c r="E666" s="24"/>
      <c r="F666" s="24"/>
      <c r="G666" s="476"/>
      <c r="H666" s="476"/>
      <c r="I666" s="476"/>
      <c r="J666" s="476"/>
      <c r="K666" s="476"/>
      <c r="L666" s="476"/>
      <c r="M666" s="476"/>
      <c r="N666" s="200"/>
      <c r="O666" s="199"/>
      <c r="P666" s="24"/>
      <c r="Q666" s="24"/>
      <c r="R666" s="398"/>
      <c r="S666" s="398"/>
      <c r="T666" s="398"/>
      <c r="U666" s="398"/>
      <c r="V666" s="398"/>
      <c r="W666" s="398"/>
      <c r="X666" s="398"/>
      <c r="Y666" s="398"/>
      <c r="Z666" s="398"/>
      <c r="AA666" s="398"/>
      <c r="AB666" s="200"/>
    </row>
    <row r="667" spans="1:41" ht="19.95" customHeight="1" thickBot="1">
      <c r="A667" s="199"/>
      <c r="B667" s="619" t="s">
        <v>3002</v>
      </c>
      <c r="C667" s="601"/>
      <c r="D667" s="601"/>
      <c r="E667" s="601"/>
      <c r="F667" s="601"/>
      <c r="G667" s="736">
        <v>360</v>
      </c>
      <c r="H667" s="737">
        <f>G667*G669</f>
        <v>108</v>
      </c>
      <c r="I667" s="737">
        <f>G667*G670</f>
        <v>251.99999999999997</v>
      </c>
      <c r="J667" s="665"/>
      <c r="K667" s="738" t="s">
        <v>2419</v>
      </c>
      <c r="L667" s="739"/>
      <c r="M667" s="740" t="s">
        <v>2418</v>
      </c>
      <c r="N667" s="200"/>
      <c r="O667" s="199"/>
      <c r="P667" s="24"/>
      <c r="Q667" s="24"/>
      <c r="R667" s="398"/>
      <c r="S667" s="398"/>
      <c r="T667" s="398"/>
      <c r="U667" s="398"/>
      <c r="V667" s="398"/>
      <c r="W667" s="398"/>
      <c r="X667" s="398"/>
      <c r="Y667" s="398"/>
      <c r="Z667" s="398"/>
      <c r="AA667" s="398"/>
      <c r="AB667" s="200"/>
      <c r="AI667" s="459" t="str">
        <f>CONCATENATE(AK667,AL667,AM667,AN667,AO667,AP667,AQ667,AR667)</f>
        <v/>
      </c>
      <c r="AK667" s="409"/>
      <c r="AM667" s="409"/>
      <c r="AO667" s="409"/>
    </row>
    <row r="668" spans="1:41" ht="16.95" customHeight="1" thickBot="1">
      <c r="A668" s="199"/>
      <c r="B668" s="601" t="s">
        <v>2413</v>
      </c>
      <c r="C668" s="601"/>
      <c r="D668" s="601"/>
      <c r="E668" s="615">
        <v>10</v>
      </c>
      <c r="F668" s="601"/>
      <c r="G668" s="616">
        <v>0.1</v>
      </c>
      <c r="H668" s="665" t="str">
        <f>H660</f>
        <v>to platform</v>
      </c>
      <c r="I668" s="665"/>
      <c r="J668" s="665"/>
      <c r="K668" s="741">
        <f>D674*G668</f>
        <v>113</v>
      </c>
      <c r="L668" s="742"/>
      <c r="M668" s="741">
        <f>D674-K668</f>
        <v>1017</v>
      </c>
      <c r="N668" s="200"/>
      <c r="O668" s="199"/>
      <c r="P668" s="24"/>
      <c r="Q668" s="24"/>
      <c r="R668" s="398"/>
      <c r="S668" s="398"/>
      <c r="T668" s="398"/>
      <c r="U668" s="398"/>
      <c r="V668" s="398"/>
      <c r="W668" s="398"/>
      <c r="X668" s="398"/>
      <c r="Y668" s="398"/>
      <c r="Z668" s="398"/>
      <c r="AA668" s="398"/>
      <c r="AB668" s="200"/>
    </row>
    <row r="669" spans="1:41" ht="16.95" customHeight="1">
      <c r="A669" s="199"/>
      <c r="B669" s="617">
        <v>120</v>
      </c>
      <c r="C669" s="393" t="s">
        <v>2414</v>
      </c>
      <c r="D669" s="601"/>
      <c r="E669" s="620">
        <f>B669*0</f>
        <v>0</v>
      </c>
      <c r="F669" s="601"/>
      <c r="G669" s="616">
        <v>0.3</v>
      </c>
      <c r="H669" s="665" t="str">
        <f>H661</f>
        <v>to advocate</v>
      </c>
      <c r="I669" s="665"/>
      <c r="J669" s="665"/>
      <c r="K669" s="741">
        <f>IF(D674&lt;G667,D674*G669,H667)</f>
        <v>108</v>
      </c>
      <c r="L669" s="742"/>
      <c r="M669" s="741">
        <f>M668-K669</f>
        <v>909</v>
      </c>
      <c r="N669" s="200"/>
      <c r="O669" s="199"/>
      <c r="P669" s="24"/>
      <c r="Q669" s="24"/>
      <c r="R669" s="398"/>
      <c r="S669" s="398"/>
      <c r="T669" s="398"/>
      <c r="U669" s="398"/>
      <c r="V669" s="398"/>
      <c r="W669" s="398"/>
      <c r="X669" s="398"/>
      <c r="Y669" s="398"/>
      <c r="Z669" s="398"/>
      <c r="AA669" s="398"/>
      <c r="AB669" s="200"/>
    </row>
    <row r="670" spans="1:41" ht="16.95" customHeight="1">
      <c r="A670" s="199"/>
      <c r="B670" s="617">
        <v>36</v>
      </c>
      <c r="C670" s="393" t="s">
        <v>2415</v>
      </c>
      <c r="D670" s="601"/>
      <c r="E670" s="620">
        <f>B670*E668</f>
        <v>360</v>
      </c>
      <c r="F670" s="601"/>
      <c r="G670" s="616">
        <f>1-G669</f>
        <v>0.7</v>
      </c>
      <c r="H670" s="665" t="str">
        <f>H662</f>
        <v>to guide</v>
      </c>
      <c r="I670" s="665"/>
      <c r="J670" s="665"/>
      <c r="K670" s="741">
        <f>IF(D674&lt;G667,(D674*G670)-K668,I667)</f>
        <v>251.99999999999997</v>
      </c>
      <c r="L670" s="665"/>
      <c r="M670" s="741">
        <f>M669-K670</f>
        <v>657</v>
      </c>
      <c r="N670" s="200"/>
      <c r="O670" s="199"/>
      <c r="P670" s="24"/>
      <c r="Q670" s="24"/>
      <c r="R670" s="398"/>
      <c r="S670" s="398"/>
      <c r="T670" s="398"/>
      <c r="U670" s="398"/>
      <c r="V670" s="398"/>
      <c r="W670" s="398"/>
      <c r="X670" s="398"/>
      <c r="Y670" s="398"/>
      <c r="Z670" s="398"/>
      <c r="AA670" s="398"/>
      <c r="AB670" s="200"/>
    </row>
    <row r="671" spans="1:41" ht="16.95" customHeight="1">
      <c r="A671" s="199"/>
      <c r="B671" s="617">
        <v>3</v>
      </c>
      <c r="C671" s="393" t="s">
        <v>2956</v>
      </c>
      <c r="D671" s="601"/>
      <c r="E671" s="620">
        <f>(E668*2)*B671</f>
        <v>60</v>
      </c>
      <c r="F671" s="601"/>
      <c r="G671" s="616"/>
      <c r="H671" s="665" t="str">
        <f>H663</f>
        <v>to campaign</v>
      </c>
      <c r="I671" s="476"/>
      <c r="J671" s="665"/>
      <c r="K671" s="741">
        <f>IF(M670&gt;0,M670,0)</f>
        <v>657</v>
      </c>
      <c r="L671" s="756" t="s">
        <v>2424</v>
      </c>
      <c r="M671" s="741">
        <f>M670-K671</f>
        <v>0</v>
      </c>
      <c r="N671" s="200"/>
      <c r="O671" s="199"/>
      <c r="P671" s="24"/>
      <c r="Q671" s="24"/>
      <c r="R671" s="398"/>
      <c r="S671" s="398"/>
      <c r="T671" s="398"/>
      <c r="U671" s="398"/>
      <c r="V671" s="398"/>
      <c r="W671" s="398"/>
      <c r="X671" s="398"/>
      <c r="Y671" s="398"/>
      <c r="Z671" s="398"/>
      <c r="AA671" s="398"/>
      <c r="AB671" s="200"/>
    </row>
    <row r="672" spans="1:41" ht="16.95" customHeight="1">
      <c r="A672" s="199"/>
      <c r="B672" s="617">
        <v>4</v>
      </c>
      <c r="C672" s="393" t="s">
        <v>2955</v>
      </c>
      <c r="D672" s="601"/>
      <c r="E672" s="620">
        <f>(E668*4)*B672</f>
        <v>160</v>
      </c>
      <c r="F672" s="601"/>
      <c r="G672" s="616"/>
      <c r="H672" s="601"/>
      <c r="I672" s="24"/>
      <c r="J672" s="601"/>
      <c r="K672" s="618"/>
      <c r="L672" s="601"/>
      <c r="M672" s="618"/>
      <c r="N672" s="200"/>
      <c r="O672" s="199"/>
      <c r="P672" s="24"/>
      <c r="Q672" s="24"/>
      <c r="R672" s="398"/>
      <c r="S672" s="398"/>
      <c r="T672" s="398"/>
      <c r="U672" s="398"/>
      <c r="V672" s="398"/>
      <c r="W672" s="398"/>
      <c r="X672" s="398"/>
      <c r="Y672" s="398"/>
      <c r="Z672" s="398"/>
      <c r="AA672" s="398"/>
      <c r="AB672" s="200"/>
    </row>
    <row r="673" spans="1:38" ht="16.95" customHeight="1">
      <c r="A673" s="199"/>
      <c r="B673" s="617">
        <v>2</v>
      </c>
      <c r="C673" s="393" t="s">
        <v>2423</v>
      </c>
      <c r="D673" s="601"/>
      <c r="E673" s="620">
        <f>B673*D665</f>
        <v>540</v>
      </c>
      <c r="F673" s="601"/>
      <c r="G673" s="24"/>
      <c r="H673" s="24"/>
      <c r="I673" s="24"/>
      <c r="J673" s="24"/>
      <c r="K673" s="24"/>
      <c r="L673" s="24"/>
      <c r="M673" s="24"/>
      <c r="N673" s="200"/>
      <c r="O673" s="199"/>
      <c r="P673" s="24"/>
      <c r="Q673" s="24"/>
      <c r="R673" s="398"/>
      <c r="S673" s="398"/>
      <c r="T673" s="398"/>
      <c r="U673" s="398"/>
      <c r="V673" s="398"/>
      <c r="W673" s="398"/>
      <c r="X673" s="398"/>
      <c r="Y673" s="398"/>
      <c r="Z673" s="398"/>
      <c r="AA673" s="398"/>
      <c r="AB673" s="200"/>
      <c r="AI673" s="459" t="str">
        <f>CONCATENATE(AK673,AL673,AM673,AN673,AO673,AP673,AQ673,AR673)</f>
        <v/>
      </c>
      <c r="AK673" s="409"/>
    </row>
    <row r="674" spans="1:38" ht="16.95" customHeight="1">
      <c r="A674" s="199"/>
      <c r="B674" s="601" t="s">
        <v>2416</v>
      </c>
      <c r="C674" s="601"/>
      <c r="D674" s="1369">
        <f>SUM(E668:E673)</f>
        <v>1130</v>
      </c>
      <c r="E674" s="1369"/>
      <c r="F674" s="627" t="s">
        <v>2424</v>
      </c>
      <c r="G674" s="24"/>
      <c r="H674" s="24"/>
      <c r="I674" s="24"/>
      <c r="J674" s="24"/>
      <c r="K674" s="24"/>
      <c r="L674" s="24"/>
      <c r="M674" s="24"/>
      <c r="N674" s="200"/>
      <c r="O674" s="199"/>
      <c r="P674" s="24"/>
      <c r="Q674" s="24"/>
      <c r="R674" s="398"/>
      <c r="S674" s="398"/>
      <c r="T674" s="398"/>
      <c r="U674" s="398"/>
      <c r="V674" s="398"/>
      <c r="W674" s="398"/>
      <c r="X674" s="398"/>
      <c r="Y674" s="398"/>
      <c r="Z674" s="398"/>
      <c r="AA674" s="398"/>
      <c r="AB674" s="200"/>
    </row>
    <row r="675" spans="1:38" ht="10.050000000000001" customHeight="1">
      <c r="A675" s="199"/>
      <c r="B675" s="24"/>
      <c r="C675" s="24"/>
      <c r="D675" s="24"/>
      <c r="E675" s="24"/>
      <c r="F675" s="24"/>
      <c r="G675" s="24"/>
      <c r="H675" s="24"/>
      <c r="I675" s="24"/>
      <c r="J675" s="24"/>
      <c r="K675" s="24"/>
      <c r="L675" s="24"/>
      <c r="M675" s="24"/>
      <c r="N675" s="200"/>
      <c r="O675" s="199"/>
      <c r="P675" s="24"/>
      <c r="Q675" s="24"/>
      <c r="R675" s="398"/>
      <c r="S675" s="398"/>
      <c r="T675" s="398"/>
      <c r="U675" s="398"/>
      <c r="V675" s="398"/>
      <c r="W675" s="398"/>
      <c r="X675" s="398"/>
      <c r="Y675" s="398"/>
      <c r="Z675" s="398"/>
      <c r="AA675" s="398"/>
      <c r="AB675" s="200"/>
    </row>
    <row r="676" spans="1:38" ht="30" customHeight="1">
      <c r="A676" s="210" t="s">
        <v>1148</v>
      </c>
      <c r="B676" s="399" t="s">
        <v>3148</v>
      </c>
      <c r="C676" s="582"/>
      <c r="D676" s="582"/>
      <c r="E676" s="583"/>
      <c r="F676" s="584"/>
      <c r="G676" s="582"/>
      <c r="H676" s="396"/>
      <c r="I676" s="396"/>
      <c r="J676" s="396"/>
      <c r="K676" s="373"/>
      <c r="L676" s="373"/>
      <c r="M676" s="373"/>
      <c r="N676" s="211" t="s">
        <v>1149</v>
      </c>
      <c r="O676" s="372"/>
      <c r="P676" s="374"/>
      <c r="Q676" s="373"/>
      <c r="R676" s="373"/>
      <c r="S676" s="373"/>
      <c r="T676" s="373"/>
      <c r="U676" s="373"/>
      <c r="V676" s="373"/>
      <c r="W676" s="373"/>
      <c r="X676" s="373"/>
      <c r="Y676" s="373"/>
      <c r="Z676" s="373"/>
      <c r="AA676" s="373"/>
      <c r="AB676" s="211" t="s">
        <v>1149</v>
      </c>
    </row>
    <row r="677" spans="1:38" ht="10.050000000000001" customHeight="1">
      <c r="A677" s="199"/>
      <c r="B677" s="476"/>
      <c r="C677" s="476"/>
      <c r="D677" s="476"/>
      <c r="E677" s="476"/>
      <c r="F677" s="476"/>
      <c r="G677" s="476"/>
      <c r="H677" s="476"/>
      <c r="I677" s="476"/>
      <c r="J677" s="476"/>
      <c r="K677" s="476"/>
      <c r="L677" s="476"/>
      <c r="M677" s="476"/>
      <c r="N677" s="200"/>
      <c r="O677" s="199"/>
      <c r="P677" s="476"/>
      <c r="Q677" s="476"/>
      <c r="R677" s="662"/>
      <c r="S677" s="662"/>
      <c r="T677" s="662"/>
      <c r="U677" s="662"/>
      <c r="V677" s="662"/>
      <c r="W677" s="662"/>
      <c r="X677" s="662"/>
      <c r="Y677" s="662"/>
      <c r="Z677" s="662"/>
      <c r="AA677" s="662"/>
      <c r="AB677" s="200"/>
    </row>
    <row r="678" spans="1:38" ht="19.95" customHeight="1">
      <c r="A678" s="199"/>
      <c r="B678" s="663" t="s">
        <v>2062</v>
      </c>
      <c r="C678" s="476"/>
      <c r="D678" s="476"/>
      <c r="E678" s="476"/>
      <c r="F678" s="476"/>
      <c r="G678" s="476"/>
      <c r="H678" s="476"/>
      <c r="I678" s="476"/>
      <c r="J678" s="476"/>
      <c r="K678" s="476"/>
      <c r="L678" s="476"/>
      <c r="M678" s="476"/>
      <c r="N678" s="200"/>
      <c r="O678" s="199"/>
      <c r="P678" s="476"/>
      <c r="Q678" s="476"/>
      <c r="R678" s="662"/>
      <c r="S678" s="662"/>
      <c r="T678" s="662"/>
      <c r="U678" s="662"/>
      <c r="V678" s="662"/>
      <c r="W678" s="662"/>
      <c r="X678" s="662"/>
      <c r="Y678" s="662"/>
      <c r="Z678" s="662"/>
      <c r="AA678" s="662"/>
      <c r="AB678" s="200"/>
    </row>
    <row r="679" spans="1:38" ht="4.95" customHeight="1">
      <c r="A679" s="199"/>
      <c r="B679" s="664"/>
      <c r="C679" s="476"/>
      <c r="D679" s="476"/>
      <c r="E679" s="476"/>
      <c r="F679" s="476"/>
      <c r="G679" s="476"/>
      <c r="H679" s="476"/>
      <c r="I679" s="476"/>
      <c r="J679" s="476"/>
      <c r="K679" s="476"/>
      <c r="L679" s="476"/>
      <c r="M679" s="476"/>
      <c r="N679" s="200"/>
      <c r="O679" s="199"/>
      <c r="P679" s="476"/>
      <c r="Q679" s="476"/>
      <c r="R679" s="662"/>
      <c r="S679" s="662"/>
      <c r="T679" s="662"/>
      <c r="U679" s="662"/>
      <c r="V679" s="662"/>
      <c r="W679" s="662"/>
      <c r="X679" s="662"/>
      <c r="Y679" s="662"/>
      <c r="Z679" s="662"/>
      <c r="AA679" s="662"/>
      <c r="AB679" s="200"/>
    </row>
    <row r="680" spans="1:38" ht="18" customHeight="1">
      <c r="A680" s="199"/>
      <c r="B680" s="665"/>
      <c r="C680" s="665"/>
      <c r="D680" s="476"/>
      <c r="E680" s="666"/>
      <c r="F680" s="666"/>
      <c r="G680" s="666"/>
      <c r="H680" s="666"/>
      <c r="I680" s="666"/>
      <c r="J680" s="666"/>
      <c r="K680" s="666"/>
      <c r="L680" s="666"/>
      <c r="M680" s="666"/>
      <c r="N680" s="200"/>
      <c r="O680" s="199"/>
      <c r="P680" s="476"/>
      <c r="Q680" s="476"/>
      <c r="R680" s="662"/>
      <c r="S680" s="662"/>
      <c r="T680" s="662"/>
      <c r="U680" s="662"/>
      <c r="V680" s="662"/>
      <c r="W680" s="662"/>
      <c r="X680" s="662"/>
      <c r="Y680" s="662"/>
      <c r="Z680" s="662"/>
      <c r="AA680" s="662"/>
      <c r="AB680" s="200"/>
      <c r="AI680" s="459" t="str">
        <f>CONCATENATE(AK680,AL680,AM680)</f>
        <v/>
      </c>
      <c r="AK680" s="409"/>
      <c r="AL680" s="46"/>
    </row>
    <row r="681" spans="1:38" ht="18" customHeight="1">
      <c r="A681" s="199"/>
      <c r="B681" s="665"/>
      <c r="C681" s="665"/>
      <c r="D681" s="476"/>
      <c r="E681" s="666"/>
      <c r="F681" s="666"/>
      <c r="G681" s="666"/>
      <c r="H681" s="666"/>
      <c r="I681" s="666"/>
      <c r="J681" s="666"/>
      <c r="K681" s="666"/>
      <c r="L681" s="666"/>
      <c r="M681" s="666"/>
      <c r="N681" s="200"/>
      <c r="O681" s="199"/>
      <c r="P681" s="476"/>
      <c r="Q681" s="476"/>
      <c r="R681" s="662"/>
      <c r="S681" s="662"/>
      <c r="T681" s="662"/>
      <c r="U681" s="662"/>
      <c r="V681" s="662"/>
      <c r="W681" s="662"/>
      <c r="X681" s="662"/>
      <c r="Y681" s="662"/>
      <c r="Z681" s="662"/>
      <c r="AA681" s="662"/>
      <c r="AB681" s="200"/>
    </row>
    <row r="682" spans="1:38" ht="18" customHeight="1">
      <c r="A682" s="199"/>
      <c r="B682" s="665"/>
      <c r="C682" s="665"/>
      <c r="D682" s="476"/>
      <c r="E682" s="666"/>
      <c r="F682" s="666"/>
      <c r="G682" s="666"/>
      <c r="H682" s="666"/>
      <c r="I682" s="666"/>
      <c r="J682" s="666"/>
      <c r="K682" s="666"/>
      <c r="L682" s="666"/>
      <c r="M682" s="666"/>
      <c r="N682" s="200"/>
      <c r="O682" s="199"/>
      <c r="P682" s="476"/>
      <c r="Q682" s="476"/>
      <c r="R682" s="662"/>
      <c r="S682" s="662"/>
      <c r="T682" s="662"/>
      <c r="U682" s="662"/>
      <c r="V682" s="662"/>
      <c r="W682" s="662"/>
      <c r="X682" s="662"/>
      <c r="Y682" s="662"/>
      <c r="Z682" s="662"/>
      <c r="AA682" s="662"/>
      <c r="AB682" s="200"/>
    </row>
    <row r="683" spans="1:38" ht="18" customHeight="1">
      <c r="A683" s="199"/>
      <c r="B683" s="665"/>
      <c r="C683" s="665"/>
      <c r="D683" s="476"/>
      <c r="E683" s="666"/>
      <c r="F683" s="666"/>
      <c r="G683" s="666"/>
      <c r="H683" s="666"/>
      <c r="I683" s="666"/>
      <c r="J683" s="666"/>
      <c r="K683" s="666"/>
      <c r="L683" s="666"/>
      <c r="M683" s="666"/>
      <c r="N683" s="200"/>
      <c r="O683" s="199"/>
      <c r="P683" s="476"/>
      <c r="Q683" s="476"/>
      <c r="R683" s="662"/>
      <c r="S683" s="662"/>
      <c r="T683" s="662"/>
      <c r="U683" s="662"/>
      <c r="V683" s="662"/>
      <c r="W683" s="662"/>
      <c r="X683" s="662"/>
      <c r="Y683" s="662"/>
      <c r="Z683" s="662"/>
      <c r="AA683" s="662"/>
      <c r="AB683" s="200"/>
    </row>
    <row r="684" spans="1:38" ht="18" customHeight="1">
      <c r="A684" s="199"/>
      <c r="B684" s="665"/>
      <c r="C684" s="665"/>
      <c r="D684" s="476"/>
      <c r="E684" s="666"/>
      <c r="F684" s="666"/>
      <c r="G684" s="666"/>
      <c r="H684" s="666"/>
      <c r="I684" s="666"/>
      <c r="J684" s="666"/>
      <c r="K684" s="666"/>
      <c r="L684" s="666"/>
      <c r="M684" s="666"/>
      <c r="N684" s="200"/>
      <c r="O684" s="199"/>
      <c r="P684" s="476"/>
      <c r="Q684" s="476"/>
      <c r="R684" s="662"/>
      <c r="S684" s="662"/>
      <c r="T684" s="662"/>
      <c r="U684" s="662"/>
      <c r="V684" s="662"/>
      <c r="W684" s="662"/>
      <c r="X684" s="662"/>
      <c r="Y684" s="662"/>
      <c r="Z684" s="662"/>
      <c r="AA684" s="662"/>
      <c r="AB684" s="200"/>
    </row>
    <row r="685" spans="1:38" ht="18" customHeight="1">
      <c r="A685" s="199"/>
      <c r="B685" s="665"/>
      <c r="C685" s="665"/>
      <c r="D685" s="476"/>
      <c r="E685" s="666"/>
      <c r="F685" s="666"/>
      <c r="G685" s="666"/>
      <c r="H685" s="666"/>
      <c r="I685" s="666"/>
      <c r="J685" s="666"/>
      <c r="K685" s="666"/>
      <c r="L685" s="666"/>
      <c r="M685" s="666"/>
      <c r="N685" s="200"/>
      <c r="O685" s="199"/>
      <c r="P685" s="476"/>
      <c r="Q685" s="476"/>
      <c r="R685" s="662"/>
      <c r="S685" s="662"/>
      <c r="T685" s="662"/>
      <c r="U685" s="662"/>
      <c r="V685" s="662"/>
      <c r="W685" s="662"/>
      <c r="X685" s="662"/>
      <c r="Y685" s="662"/>
      <c r="Z685" s="662"/>
      <c r="AA685" s="662"/>
      <c r="AB685" s="200"/>
    </row>
    <row r="686" spans="1:38" ht="18" customHeight="1">
      <c r="A686" s="199"/>
      <c r="B686" s="665"/>
      <c r="C686" s="665"/>
      <c r="D686" s="476"/>
      <c r="E686" s="666"/>
      <c r="F686" s="666"/>
      <c r="G686" s="666"/>
      <c r="H686" s="666"/>
      <c r="I686" s="666"/>
      <c r="J686" s="666"/>
      <c r="K686" s="666"/>
      <c r="L686" s="666"/>
      <c r="M686" s="476"/>
      <c r="N686" s="200"/>
      <c r="O686" s="199"/>
      <c r="P686" s="476"/>
      <c r="Q686" s="476"/>
      <c r="R686" s="662"/>
      <c r="S686" s="662"/>
      <c r="T686" s="662"/>
      <c r="U686" s="662"/>
      <c r="V686" s="662"/>
      <c r="W686" s="662"/>
      <c r="X686" s="662"/>
      <c r="Y686" s="662"/>
      <c r="Z686" s="662"/>
      <c r="AA686" s="662"/>
      <c r="AB686" s="200"/>
    </row>
    <row r="687" spans="1:38" ht="18" customHeight="1">
      <c r="A687" s="199"/>
      <c r="B687" s="665"/>
      <c r="C687" s="665"/>
      <c r="D687" s="476"/>
      <c r="E687" s="666"/>
      <c r="F687" s="666"/>
      <c r="G687" s="666"/>
      <c r="H687" s="666"/>
      <c r="I687" s="666"/>
      <c r="J687" s="666"/>
      <c r="K687" s="666"/>
      <c r="L687" s="666"/>
      <c r="M687" s="665"/>
      <c r="N687" s="200"/>
      <c r="O687" s="199"/>
      <c r="P687" s="476"/>
      <c r="Q687" s="476"/>
      <c r="R687" s="662"/>
      <c r="S687" s="662"/>
      <c r="T687" s="662"/>
      <c r="U687" s="662"/>
      <c r="V687" s="662"/>
      <c r="W687" s="662"/>
      <c r="X687" s="662"/>
      <c r="Y687" s="662"/>
      <c r="Z687" s="662"/>
      <c r="AA687" s="662"/>
      <c r="AB687" s="200"/>
    </row>
    <row r="688" spans="1:38" ht="18" customHeight="1">
      <c r="A688" s="199"/>
      <c r="B688" s="665"/>
      <c r="C688" s="665"/>
      <c r="D688" s="476"/>
      <c r="E688" s="666"/>
      <c r="F688" s="666"/>
      <c r="G688" s="666"/>
      <c r="H688" s="666"/>
      <c r="I688" s="666"/>
      <c r="J688" s="666"/>
      <c r="K688" s="476"/>
      <c r="L688" s="476"/>
      <c r="M688" s="665"/>
      <c r="N688" s="200"/>
      <c r="O688" s="199"/>
      <c r="P688" s="476"/>
      <c r="Q688" s="476"/>
      <c r="R688" s="662"/>
      <c r="S688" s="662"/>
      <c r="T688" s="662"/>
      <c r="U688" s="662"/>
      <c r="V688" s="662"/>
      <c r="W688" s="662"/>
      <c r="X688" s="662"/>
      <c r="Y688" s="662"/>
      <c r="Z688" s="662"/>
      <c r="AA688" s="662"/>
      <c r="AB688" s="200"/>
    </row>
    <row r="689" spans="1:28" ht="18" customHeight="1">
      <c r="A689" s="199"/>
      <c r="B689" s="665"/>
      <c r="C689" s="665"/>
      <c r="D689" s="476"/>
      <c r="E689" s="666"/>
      <c r="F689" s="666"/>
      <c r="G689" s="666"/>
      <c r="H689" s="666"/>
      <c r="I689" s="666"/>
      <c r="J689" s="666"/>
      <c r="K689" s="476"/>
      <c r="L689" s="665"/>
      <c r="M689" s="665"/>
      <c r="N689" s="200"/>
      <c r="O689" s="199"/>
      <c r="P689" s="665"/>
      <c r="Q689" s="476"/>
      <c r="R689" s="662"/>
      <c r="S689" s="662"/>
      <c r="T689" s="662"/>
      <c r="U689" s="662"/>
      <c r="V689" s="662"/>
      <c r="W689" s="662"/>
      <c r="X689" s="662"/>
      <c r="Y689" s="662"/>
      <c r="Z689" s="662"/>
      <c r="AA689" s="662"/>
      <c r="AB689" s="200"/>
    </row>
    <row r="690" spans="1:28" ht="18" customHeight="1">
      <c r="A690" s="199"/>
      <c r="B690" s="665"/>
      <c r="C690" s="665"/>
      <c r="D690" s="476"/>
      <c r="E690" s="666"/>
      <c r="F690" s="666"/>
      <c r="G690" s="666"/>
      <c r="H690" s="666"/>
      <c r="I690" s="666"/>
      <c r="J690" s="666"/>
      <c r="K690" s="476"/>
      <c r="L690" s="665"/>
      <c r="M690" s="665"/>
      <c r="N690" s="200"/>
      <c r="O690" s="199"/>
      <c r="P690" s="476"/>
      <c r="Q690" s="476"/>
      <c r="R690" s="662"/>
      <c r="S690" s="662"/>
      <c r="T690" s="662"/>
      <c r="U690" s="662"/>
      <c r="V690" s="662"/>
      <c r="W690" s="662"/>
      <c r="X690" s="662"/>
      <c r="Y690" s="662"/>
      <c r="Z690" s="662"/>
      <c r="AA690" s="662"/>
      <c r="AB690" s="200"/>
    </row>
    <row r="691" spans="1:28" ht="18" customHeight="1">
      <c r="A691" s="199"/>
      <c r="B691" s="665"/>
      <c r="C691" s="665"/>
      <c r="D691" s="476"/>
      <c r="E691" s="666"/>
      <c r="F691" s="666"/>
      <c r="G691" s="666"/>
      <c r="H691" s="666"/>
      <c r="I691" s="666"/>
      <c r="J691" s="666"/>
      <c r="K691" s="665"/>
      <c r="L691" s="665"/>
      <c r="M691" s="665"/>
      <c r="N691" s="200"/>
      <c r="O691" s="199"/>
      <c r="P691" s="476"/>
      <c r="Q691" s="476"/>
      <c r="R691" s="662"/>
      <c r="S691" s="662"/>
      <c r="T691" s="662"/>
      <c r="U691" s="662"/>
      <c r="V691" s="662"/>
      <c r="W691" s="662"/>
      <c r="X691" s="662"/>
      <c r="Y691" s="662"/>
      <c r="Z691" s="662"/>
      <c r="AA691" s="662"/>
      <c r="AB691" s="200"/>
    </row>
    <row r="692" spans="1:28" ht="18" customHeight="1">
      <c r="A692" s="199"/>
      <c r="B692" s="665"/>
      <c r="C692" s="665"/>
      <c r="D692" s="476"/>
      <c r="E692" s="666"/>
      <c r="F692" s="666"/>
      <c r="G692" s="666"/>
      <c r="H692" s="666"/>
      <c r="I692" s="666"/>
      <c r="J692" s="666"/>
      <c r="K692" s="665"/>
      <c r="L692" s="665"/>
      <c r="M692" s="665"/>
      <c r="N692" s="200"/>
      <c r="O692" s="199"/>
      <c r="P692" s="476"/>
      <c r="Q692" s="476"/>
      <c r="R692" s="662"/>
      <c r="S692" s="662"/>
      <c r="T692" s="662"/>
      <c r="U692" s="662"/>
      <c r="V692" s="662"/>
      <c r="W692" s="662"/>
      <c r="X692" s="662"/>
      <c r="Y692" s="662"/>
      <c r="Z692" s="662"/>
      <c r="AA692" s="662"/>
      <c r="AB692" s="200"/>
    </row>
    <row r="693" spans="1:28" ht="18" customHeight="1">
      <c r="A693" s="199"/>
      <c r="B693" s="665"/>
      <c r="C693" s="665"/>
      <c r="D693" s="476"/>
      <c r="E693" s="666"/>
      <c r="F693" s="666"/>
      <c r="G693" s="666"/>
      <c r="H693" s="666"/>
      <c r="I693" s="666"/>
      <c r="J693" s="666"/>
      <c r="K693" s="665"/>
      <c r="L693" s="665"/>
      <c r="M693" s="476"/>
      <c r="N693" s="200"/>
      <c r="O693" s="199"/>
      <c r="P693" s="476"/>
      <c r="Q693" s="476"/>
      <c r="R693" s="662"/>
      <c r="S693" s="662"/>
      <c r="T693" s="662"/>
      <c r="U693" s="662"/>
      <c r="V693" s="662"/>
      <c r="W693" s="662"/>
      <c r="X693" s="662"/>
      <c r="Y693" s="662"/>
      <c r="Z693" s="662"/>
      <c r="AA693" s="662"/>
      <c r="AB693" s="200"/>
    </row>
    <row r="694" spans="1:28" ht="18" customHeight="1">
      <c r="A694" s="199"/>
      <c r="B694" s="665"/>
      <c r="C694" s="665"/>
      <c r="D694" s="476"/>
      <c r="E694" s="666"/>
      <c r="F694" s="666"/>
      <c r="G694" s="666"/>
      <c r="H694" s="666"/>
      <c r="I694" s="666"/>
      <c r="J694" s="666"/>
      <c r="K694" s="665"/>
      <c r="L694" s="665"/>
      <c r="M694" s="665"/>
      <c r="N694" s="200"/>
      <c r="O694" s="199"/>
      <c r="P694" s="476"/>
      <c r="Q694" s="476"/>
      <c r="R694" s="662"/>
      <c r="S694" s="662"/>
      <c r="T694" s="662"/>
      <c r="U694" s="662"/>
      <c r="V694" s="662"/>
      <c r="W694" s="662"/>
      <c r="X694" s="662"/>
      <c r="Y694" s="662"/>
      <c r="Z694" s="662"/>
      <c r="AA694" s="662"/>
      <c r="AB694" s="200"/>
    </row>
    <row r="695" spans="1:28" ht="18" customHeight="1">
      <c r="A695" s="199"/>
      <c r="B695" s="665"/>
      <c r="C695" s="665"/>
      <c r="D695" s="476"/>
      <c r="E695" s="666"/>
      <c r="F695" s="666"/>
      <c r="G695" s="666"/>
      <c r="H695" s="666"/>
      <c r="I695" s="666"/>
      <c r="J695" s="666"/>
      <c r="K695" s="476"/>
      <c r="L695" s="476"/>
      <c r="M695" s="665"/>
      <c r="N695" s="200"/>
      <c r="O695" s="199"/>
      <c r="P695" s="476"/>
      <c r="Q695" s="476"/>
      <c r="R695" s="662"/>
      <c r="S695" s="662"/>
      <c r="T695" s="662"/>
      <c r="U695" s="662"/>
      <c r="V695" s="662"/>
      <c r="W695" s="662"/>
      <c r="X695" s="662"/>
      <c r="Y695" s="662"/>
      <c r="Z695" s="662"/>
      <c r="AA695" s="662"/>
      <c r="AB695" s="200"/>
    </row>
    <row r="696" spans="1:28" ht="18" customHeight="1">
      <c r="A696" s="199"/>
      <c r="B696" s="665"/>
      <c r="C696" s="665"/>
      <c r="D696" s="476"/>
      <c r="E696" s="666"/>
      <c r="F696" s="666"/>
      <c r="G696" s="666"/>
      <c r="H696" s="666"/>
      <c r="I696" s="666"/>
      <c r="J696" s="666"/>
      <c r="K696" s="665"/>
      <c r="L696" s="665"/>
      <c r="M696" s="665"/>
      <c r="N696" s="200"/>
      <c r="O696" s="199"/>
      <c r="P696" s="476"/>
      <c r="Q696" s="476"/>
      <c r="R696" s="662"/>
      <c r="S696" s="662"/>
      <c r="T696" s="662"/>
      <c r="U696" s="662"/>
      <c r="V696" s="662"/>
      <c r="W696" s="662"/>
      <c r="X696" s="662"/>
      <c r="Y696" s="662"/>
      <c r="Z696" s="662"/>
      <c r="AA696" s="662"/>
      <c r="AB696" s="200"/>
    </row>
    <row r="697" spans="1:28" ht="18" customHeight="1">
      <c r="A697" s="199"/>
      <c r="B697" s="665"/>
      <c r="C697" s="665"/>
      <c r="D697" s="476"/>
      <c r="E697" s="666"/>
      <c r="F697" s="666"/>
      <c r="G697" s="666"/>
      <c r="H697" s="666"/>
      <c r="I697" s="666"/>
      <c r="J697" s="666"/>
      <c r="K697" s="665"/>
      <c r="L697" s="665"/>
      <c r="M697" s="665"/>
      <c r="N697" s="200"/>
      <c r="O697" s="199"/>
      <c r="P697" s="476"/>
      <c r="Q697" s="476"/>
      <c r="R697" s="662"/>
      <c r="S697" s="662"/>
      <c r="T697" s="662"/>
      <c r="U697" s="662"/>
      <c r="V697" s="662"/>
      <c r="W697" s="662"/>
      <c r="X697" s="662"/>
      <c r="Y697" s="662"/>
      <c r="Z697" s="662"/>
      <c r="AA697" s="662"/>
      <c r="AB697" s="200"/>
    </row>
    <row r="698" spans="1:28" ht="18" customHeight="1">
      <c r="A698" s="199"/>
      <c r="B698" s="665"/>
      <c r="C698" s="665"/>
      <c r="D698" s="476"/>
      <c r="E698" s="666"/>
      <c r="F698" s="666"/>
      <c r="G698" s="666"/>
      <c r="H698" s="666"/>
      <c r="I698" s="666"/>
      <c r="J698" s="666"/>
      <c r="K698" s="666"/>
      <c r="L698" s="666"/>
      <c r="M698" s="666"/>
      <c r="N698" s="200"/>
      <c r="O698" s="199"/>
      <c r="P698" s="476"/>
      <c r="Q698" s="476"/>
      <c r="R698" s="662"/>
      <c r="S698" s="662"/>
      <c r="T698" s="662"/>
      <c r="U698" s="662"/>
      <c r="V698" s="662"/>
      <c r="W698" s="662"/>
      <c r="X698" s="662"/>
      <c r="Y698" s="662"/>
      <c r="Z698" s="662"/>
      <c r="AA698" s="662"/>
      <c r="AB698" s="200"/>
    </row>
    <row r="699" spans="1:28" ht="18" customHeight="1">
      <c r="A699" s="199"/>
      <c r="B699" s="665"/>
      <c r="C699" s="665"/>
      <c r="D699" s="476"/>
      <c r="E699" s="666"/>
      <c r="F699" s="666"/>
      <c r="G699" s="666"/>
      <c r="H699" s="666"/>
      <c r="I699" s="666"/>
      <c r="J699" s="666"/>
      <c r="K699" s="665"/>
      <c r="L699" s="665"/>
      <c r="M699" s="665"/>
      <c r="N699" s="200"/>
      <c r="O699" s="199"/>
      <c r="P699" s="476"/>
      <c r="Q699" s="476"/>
      <c r="R699" s="662"/>
      <c r="S699" s="662"/>
      <c r="T699" s="662"/>
      <c r="U699" s="662"/>
      <c r="V699" s="662"/>
      <c r="W699" s="662"/>
      <c r="X699" s="662"/>
      <c r="Y699" s="662"/>
      <c r="Z699" s="662"/>
      <c r="AA699" s="662"/>
      <c r="AB699" s="200"/>
    </row>
    <row r="700" spans="1:28" ht="18" customHeight="1">
      <c r="A700" s="199"/>
      <c r="B700" s="665"/>
      <c r="C700" s="665"/>
      <c r="D700" s="476"/>
      <c r="E700" s="666"/>
      <c r="F700" s="666"/>
      <c r="G700" s="666"/>
      <c r="H700" s="666"/>
      <c r="I700" s="666"/>
      <c r="J700" s="666"/>
      <c r="K700" s="665"/>
      <c r="L700" s="665"/>
      <c r="M700" s="665"/>
      <c r="N700" s="200"/>
      <c r="O700" s="199"/>
      <c r="P700" s="476"/>
      <c r="Q700" s="476"/>
      <c r="R700" s="662"/>
      <c r="S700" s="662"/>
      <c r="T700" s="662"/>
      <c r="U700" s="662"/>
      <c r="V700" s="662"/>
      <c r="W700" s="662"/>
      <c r="X700" s="662"/>
      <c r="Y700" s="662"/>
      <c r="Z700" s="662"/>
      <c r="AA700" s="662"/>
      <c r="AB700" s="200"/>
    </row>
    <row r="701" spans="1:28" ht="18" customHeight="1">
      <c r="A701" s="199"/>
      <c r="B701" s="665"/>
      <c r="C701" s="665"/>
      <c r="D701" s="476"/>
      <c r="E701" s="666"/>
      <c r="F701" s="666"/>
      <c r="G701" s="666"/>
      <c r="H701" s="666"/>
      <c r="I701" s="666"/>
      <c r="J701" s="666"/>
      <c r="K701" s="665"/>
      <c r="L701" s="665"/>
      <c r="M701" s="665"/>
      <c r="N701" s="200"/>
      <c r="O701" s="199"/>
      <c r="P701" s="476"/>
      <c r="Q701" s="476"/>
      <c r="R701" s="662"/>
      <c r="S701" s="662"/>
      <c r="T701" s="662"/>
      <c r="U701" s="662"/>
      <c r="V701" s="662"/>
      <c r="W701" s="662"/>
      <c r="X701" s="662"/>
      <c r="Y701" s="662"/>
      <c r="Z701" s="662"/>
      <c r="AA701" s="662"/>
      <c r="AB701" s="200"/>
    </row>
    <row r="702" spans="1:28" ht="18" customHeight="1">
      <c r="A702" s="199"/>
      <c r="B702" s="665"/>
      <c r="C702" s="665"/>
      <c r="D702" s="476"/>
      <c r="E702" s="666"/>
      <c r="F702" s="666"/>
      <c r="G702" s="666"/>
      <c r="H702" s="666"/>
      <c r="I702" s="666"/>
      <c r="J702" s="666"/>
      <c r="K702" s="665"/>
      <c r="L702" s="665"/>
      <c r="M702" s="665"/>
      <c r="N702" s="200"/>
      <c r="O702" s="199"/>
      <c r="P702" s="476"/>
      <c r="Q702" s="476"/>
      <c r="R702" s="662"/>
      <c r="S702" s="662"/>
      <c r="T702" s="662"/>
      <c r="U702" s="662"/>
      <c r="V702" s="662"/>
      <c r="W702" s="662"/>
      <c r="X702" s="662"/>
      <c r="Y702" s="662"/>
      <c r="Z702" s="662"/>
      <c r="AA702" s="662"/>
      <c r="AB702" s="200"/>
    </row>
    <row r="703" spans="1:28" ht="18" customHeight="1">
      <c r="A703" s="199"/>
      <c r="B703" s="665"/>
      <c r="C703" s="665"/>
      <c r="D703" s="476"/>
      <c r="E703" s="666"/>
      <c r="F703" s="666"/>
      <c r="G703" s="666"/>
      <c r="H703" s="666"/>
      <c r="I703" s="666"/>
      <c r="J703" s="666"/>
      <c r="K703" s="665"/>
      <c r="L703" s="665"/>
      <c r="M703" s="665"/>
      <c r="N703" s="200"/>
      <c r="O703" s="199"/>
      <c r="P703" s="476"/>
      <c r="Q703" s="476"/>
      <c r="R703" s="662"/>
      <c r="S703" s="662"/>
      <c r="T703" s="662"/>
      <c r="U703" s="662"/>
      <c r="V703" s="662"/>
      <c r="W703" s="662"/>
      <c r="X703" s="662"/>
      <c r="Y703" s="662"/>
      <c r="Z703" s="662"/>
      <c r="AA703" s="662"/>
      <c r="AB703" s="200"/>
    </row>
    <row r="704" spans="1:28" ht="18" customHeight="1">
      <c r="A704" s="199"/>
      <c r="B704" s="665"/>
      <c r="C704" s="665"/>
      <c r="D704" s="476"/>
      <c r="E704" s="666"/>
      <c r="F704" s="666"/>
      <c r="G704" s="666"/>
      <c r="H704" s="666"/>
      <c r="I704" s="666"/>
      <c r="J704" s="666"/>
      <c r="K704" s="476"/>
      <c r="L704" s="476"/>
      <c r="M704" s="476"/>
      <c r="N704" s="200"/>
      <c r="O704" s="199"/>
      <c r="P704" s="476"/>
      <c r="Q704" s="476"/>
      <c r="R704" s="662"/>
      <c r="S704" s="662"/>
      <c r="T704" s="662"/>
      <c r="U704" s="662"/>
      <c r="V704" s="662"/>
      <c r="W704" s="662"/>
      <c r="X704" s="662"/>
      <c r="Y704" s="662"/>
      <c r="Z704" s="662"/>
      <c r="AA704" s="662"/>
      <c r="AB704" s="200"/>
    </row>
    <row r="705" spans="1:43" ht="18" customHeight="1">
      <c r="A705" s="199"/>
      <c r="B705" s="665"/>
      <c r="C705" s="665"/>
      <c r="D705" s="476"/>
      <c r="E705" s="666"/>
      <c r="F705" s="666"/>
      <c r="G705" s="666"/>
      <c r="H705" s="666"/>
      <c r="I705" s="666"/>
      <c r="J705" s="666"/>
      <c r="K705" s="665"/>
      <c r="L705" s="665"/>
      <c r="M705" s="665"/>
      <c r="N705" s="200"/>
      <c r="O705" s="199"/>
      <c r="P705" s="476"/>
      <c r="Q705" s="476"/>
      <c r="R705" s="662"/>
      <c r="S705" s="662"/>
      <c r="T705" s="662"/>
      <c r="U705" s="662"/>
      <c r="V705" s="662"/>
      <c r="W705" s="662"/>
      <c r="X705" s="662"/>
      <c r="Y705" s="662"/>
      <c r="Z705" s="662"/>
      <c r="AA705" s="662"/>
      <c r="AB705" s="200"/>
    </row>
    <row r="706" spans="1:43" ht="18" customHeight="1">
      <c r="A706" s="199"/>
      <c r="B706" s="665"/>
      <c r="C706" s="665"/>
      <c r="D706" s="476"/>
      <c r="E706" s="666"/>
      <c r="F706" s="666"/>
      <c r="G706" s="666"/>
      <c r="H706" s="666"/>
      <c r="I706" s="666"/>
      <c r="J706" s="666"/>
      <c r="K706" s="665"/>
      <c r="L706" s="665"/>
      <c r="M706" s="665"/>
      <c r="N706" s="200"/>
      <c r="O706" s="199"/>
      <c r="P706" s="476"/>
      <c r="Q706" s="476"/>
      <c r="R706" s="662"/>
      <c r="S706" s="662"/>
      <c r="T706" s="662"/>
      <c r="U706" s="662"/>
      <c r="V706" s="662"/>
      <c r="W706" s="662"/>
      <c r="X706" s="662"/>
      <c r="Y706" s="662"/>
      <c r="Z706" s="662"/>
      <c r="AA706" s="662"/>
      <c r="AB706" s="200"/>
    </row>
    <row r="707" spans="1:43" ht="18" customHeight="1">
      <c r="A707" s="199"/>
      <c r="B707" s="665"/>
      <c r="C707" s="665"/>
      <c r="D707" s="476"/>
      <c r="E707" s="666"/>
      <c r="F707" s="666"/>
      <c r="G707" s="666"/>
      <c r="H707" s="666"/>
      <c r="I707" s="666"/>
      <c r="J707" s="666"/>
      <c r="K707" s="665"/>
      <c r="L707" s="665"/>
      <c r="M707" s="665"/>
      <c r="N707" s="200"/>
      <c r="O707" s="199"/>
      <c r="P707" s="476"/>
      <c r="Q707" s="476"/>
      <c r="R707" s="662"/>
      <c r="S707" s="662"/>
      <c r="T707" s="662"/>
      <c r="U707" s="662"/>
      <c r="V707" s="662"/>
      <c r="W707" s="662"/>
      <c r="X707" s="662"/>
      <c r="Y707" s="662"/>
      <c r="Z707" s="662"/>
      <c r="AA707" s="662"/>
      <c r="AB707" s="200"/>
    </row>
    <row r="708" spans="1:43" ht="18" customHeight="1">
      <c r="A708" s="199"/>
      <c r="B708" s="665"/>
      <c r="C708" s="665"/>
      <c r="D708" s="476"/>
      <c r="E708" s="666"/>
      <c r="F708" s="666"/>
      <c r="G708" s="666"/>
      <c r="H708" s="666"/>
      <c r="I708" s="666"/>
      <c r="J708" s="666"/>
      <c r="K708" s="665"/>
      <c r="L708" s="665"/>
      <c r="M708" s="665"/>
      <c r="N708" s="200"/>
      <c r="O708" s="199"/>
      <c r="P708" s="476"/>
      <c r="Q708" s="476"/>
      <c r="R708" s="662"/>
      <c r="S708" s="662"/>
      <c r="T708" s="662"/>
      <c r="U708" s="662"/>
      <c r="V708" s="662"/>
      <c r="W708" s="662"/>
      <c r="X708" s="662"/>
      <c r="Y708" s="662"/>
      <c r="Z708" s="662"/>
      <c r="AA708" s="662"/>
      <c r="AB708" s="200"/>
    </row>
    <row r="709" spans="1:43" ht="18" customHeight="1">
      <c r="A709" s="199"/>
      <c r="B709" s="665"/>
      <c r="C709" s="665"/>
      <c r="D709" s="476"/>
      <c r="E709" s="666"/>
      <c r="F709" s="666"/>
      <c r="G709" s="666"/>
      <c r="H709" s="666"/>
      <c r="I709" s="666"/>
      <c r="J709" s="666"/>
      <c r="K709" s="665"/>
      <c r="L709" s="665"/>
      <c r="M709" s="665"/>
      <c r="N709" s="200"/>
      <c r="O709" s="199"/>
      <c r="P709" s="476"/>
      <c r="Q709" s="476"/>
      <c r="R709" s="662"/>
      <c r="S709" s="662"/>
      <c r="T709" s="662"/>
      <c r="U709" s="662"/>
      <c r="V709" s="662"/>
      <c r="W709" s="662"/>
      <c r="X709" s="662"/>
      <c r="Y709" s="662"/>
      <c r="Z709" s="662"/>
      <c r="AA709" s="662"/>
      <c r="AB709" s="200"/>
    </row>
    <row r="710" spans="1:43" ht="18" customHeight="1">
      <c r="A710" s="199"/>
      <c r="B710" s="665"/>
      <c r="C710" s="665"/>
      <c r="D710" s="476"/>
      <c r="E710" s="666"/>
      <c r="F710" s="666"/>
      <c r="G710" s="666"/>
      <c r="H710" s="666"/>
      <c r="I710" s="666"/>
      <c r="J710" s="666"/>
      <c r="K710" s="665"/>
      <c r="L710" s="665"/>
      <c r="M710" s="665"/>
      <c r="N710" s="200"/>
      <c r="O710" s="199"/>
      <c r="P710" s="476"/>
      <c r="Q710" s="476"/>
      <c r="R710" s="662"/>
      <c r="S710" s="662"/>
      <c r="T710" s="662"/>
      <c r="U710" s="662"/>
      <c r="V710" s="662"/>
      <c r="W710" s="662"/>
      <c r="X710" s="662"/>
      <c r="Y710" s="662"/>
      <c r="Z710" s="662"/>
      <c r="AA710" s="662"/>
      <c r="AB710" s="200"/>
    </row>
    <row r="711" spans="1:43" ht="19.95" customHeight="1">
      <c r="A711" s="199"/>
      <c r="B711" s="601"/>
      <c r="C711" s="601"/>
      <c r="D711" s="601"/>
      <c r="E711" s="601"/>
      <c r="F711" s="601"/>
      <c r="G711" s="601"/>
      <c r="H711" s="601"/>
      <c r="I711" s="601"/>
      <c r="J711" s="601"/>
      <c r="K711" s="24"/>
      <c r="L711" s="24"/>
      <c r="M711" s="24"/>
      <c r="N711" s="200"/>
      <c r="O711" s="199"/>
      <c r="P711" s="24"/>
      <c r="Q711" s="24"/>
      <c r="R711" s="398"/>
      <c r="S711" s="398"/>
      <c r="T711" s="398"/>
      <c r="U711" s="398"/>
      <c r="V711" s="398"/>
      <c r="W711" s="398"/>
      <c r="X711" s="398"/>
      <c r="Y711" s="398"/>
      <c r="Z711" s="398"/>
      <c r="AA711" s="398"/>
      <c r="AB711" s="200"/>
    </row>
    <row r="712" spans="1:43" ht="10.050000000000001" customHeight="1">
      <c r="A712" s="199"/>
      <c r="B712" s="24"/>
      <c r="C712" s="24"/>
      <c r="D712" s="24"/>
      <c r="E712" s="24"/>
      <c r="F712" s="24"/>
      <c r="G712" s="24"/>
      <c r="H712" s="24"/>
      <c r="I712" s="24"/>
      <c r="J712" s="24"/>
      <c r="K712" s="24"/>
      <c r="L712" s="24"/>
      <c r="M712" s="24"/>
      <c r="N712" s="200"/>
      <c r="O712" s="199"/>
      <c r="P712" s="24"/>
      <c r="Q712" s="24"/>
      <c r="R712" s="398"/>
      <c r="S712" s="398"/>
      <c r="T712" s="398"/>
      <c r="U712" s="398"/>
      <c r="V712" s="398"/>
      <c r="W712" s="398"/>
      <c r="X712" s="398"/>
      <c r="Y712" s="398"/>
      <c r="Z712" s="398"/>
      <c r="AA712" s="398"/>
      <c r="AB712" s="203"/>
    </row>
    <row r="713" spans="1:43" ht="10.050000000000001" customHeight="1">
      <c r="A713" s="199"/>
      <c r="B713" s="24"/>
      <c r="C713" s="24"/>
      <c r="D713" s="24"/>
      <c r="E713" s="24"/>
      <c r="F713" s="24"/>
      <c r="G713" s="24"/>
      <c r="H713" s="24"/>
      <c r="I713" s="24"/>
      <c r="J713" s="24"/>
      <c r="K713" s="24"/>
      <c r="L713" s="24"/>
      <c r="M713" s="24"/>
      <c r="N713" s="200"/>
      <c r="O713" s="199"/>
      <c r="P713" s="24"/>
      <c r="Q713" s="24"/>
      <c r="R713" s="398"/>
      <c r="S713" s="398"/>
      <c r="T713" s="398"/>
      <c r="U713" s="398"/>
      <c r="V713" s="398"/>
      <c r="W713" s="398"/>
      <c r="X713" s="398"/>
      <c r="Y713" s="398"/>
      <c r="Z713" s="398"/>
      <c r="AA713" s="398"/>
      <c r="AB713" s="203"/>
    </row>
    <row r="714" spans="1:43" ht="30" customHeight="1">
      <c r="A714" s="210" t="s">
        <v>1148</v>
      </c>
      <c r="B714" s="399" t="s">
        <v>3149</v>
      </c>
      <c r="C714" s="582"/>
      <c r="D714" s="582"/>
      <c r="E714" s="583"/>
      <c r="F714" s="584"/>
      <c r="G714" s="582"/>
      <c r="H714" s="582"/>
      <c r="I714" s="582"/>
      <c r="J714" s="582"/>
      <c r="K714" s="582"/>
      <c r="L714" s="373"/>
      <c r="M714" s="373"/>
      <c r="N714" s="211" t="s">
        <v>1149</v>
      </c>
      <c r="O714" s="372"/>
      <c r="P714" s="374"/>
      <c r="Q714" s="373"/>
      <c r="R714" s="373"/>
      <c r="S714" s="373"/>
      <c r="T714" s="373"/>
      <c r="U714" s="373"/>
      <c r="V714" s="373"/>
      <c r="W714" s="373"/>
      <c r="X714" s="373"/>
      <c r="Y714" s="373"/>
      <c r="Z714" s="373"/>
      <c r="AA714" s="373"/>
      <c r="AB714" s="211" t="s">
        <v>1149</v>
      </c>
      <c r="AI714" s="459" t="str">
        <f>CONCATENATE(AK714,AL714,AM714,AN716,AO716,AP716,AQ716,AR716)</f>
        <v/>
      </c>
      <c r="AK714" s="409"/>
    </row>
    <row r="715" spans="1:43" ht="10.050000000000001" customHeight="1">
      <c r="A715" s="199"/>
      <c r="B715" s="24"/>
      <c r="C715" s="24"/>
      <c r="D715" s="24"/>
      <c r="E715" s="24"/>
      <c r="F715" s="24"/>
      <c r="G715" s="24"/>
      <c r="H715" s="24"/>
      <c r="I715" s="24"/>
      <c r="J715" s="24"/>
      <c r="K715" s="24"/>
      <c r="L715" s="24"/>
      <c r="M715" s="24"/>
      <c r="N715" s="200"/>
      <c r="O715" s="199"/>
      <c r="P715" s="24"/>
      <c r="Q715" s="24"/>
      <c r="R715" s="398"/>
      <c r="S715" s="398"/>
      <c r="T715" s="398"/>
      <c r="U715" s="398"/>
      <c r="V715" s="398"/>
      <c r="W715" s="398"/>
      <c r="X715" s="398"/>
      <c r="Y715" s="398"/>
      <c r="Z715" s="398"/>
      <c r="AA715" s="398"/>
      <c r="AB715" s="200"/>
    </row>
    <row r="716" spans="1:43" ht="19.95" customHeight="1">
      <c r="A716" s="199"/>
      <c r="B716" s="719" t="s">
        <v>2750</v>
      </c>
      <c r="C716" s="24"/>
      <c r="D716" s="24"/>
      <c r="E716" s="24"/>
      <c r="F716" s="24"/>
      <c r="G716" s="24"/>
      <c r="H716" s="24"/>
      <c r="I716" s="24"/>
      <c r="J716" s="24"/>
      <c r="K716" s="24"/>
      <c r="L716" s="24"/>
      <c r="M716" s="24"/>
      <c r="N716" s="200"/>
      <c r="O716" s="199"/>
      <c r="P716" s="24"/>
      <c r="Q716" s="24"/>
      <c r="R716" s="398"/>
      <c r="S716" s="398"/>
      <c r="T716" s="398"/>
      <c r="U716" s="398"/>
      <c r="V716" s="398"/>
      <c r="W716" s="398"/>
      <c r="X716" s="398"/>
      <c r="Y716" s="398"/>
      <c r="Z716" s="398"/>
      <c r="AA716" s="398"/>
      <c r="AB716" s="200"/>
    </row>
    <row r="717" spans="1:43" ht="4.95" customHeight="1">
      <c r="A717" s="199"/>
      <c r="B717" s="24"/>
      <c r="C717" s="24"/>
      <c r="D717" s="24"/>
      <c r="E717" s="24"/>
      <c r="F717" s="24"/>
      <c r="G717" s="24"/>
      <c r="H717" s="24"/>
      <c r="I717" s="24"/>
      <c r="J717" s="24"/>
      <c r="K717" s="24"/>
      <c r="L717" s="24"/>
      <c r="M717" s="24"/>
      <c r="N717" s="200"/>
      <c r="O717" s="199"/>
      <c r="P717" s="24"/>
      <c r="Q717" s="24"/>
      <c r="R717" s="398"/>
      <c r="S717" s="398"/>
      <c r="T717" s="398"/>
      <c r="U717" s="398"/>
      <c r="V717" s="398"/>
      <c r="W717" s="398"/>
      <c r="X717" s="398"/>
      <c r="Y717" s="398"/>
      <c r="Z717" s="398"/>
      <c r="AA717" s="398"/>
      <c r="AB717" s="200"/>
    </row>
    <row r="718" spans="1:43" ht="19.95" customHeight="1">
      <c r="A718" s="199"/>
      <c r="B718" s="24"/>
      <c r="C718" s="24"/>
      <c r="D718" s="24"/>
      <c r="E718" s="601"/>
      <c r="F718" s="601"/>
      <c r="G718" s="601"/>
      <c r="H718" s="601"/>
      <c r="I718" s="601"/>
      <c r="J718" s="601"/>
      <c r="K718" s="601"/>
      <c r="L718" s="601"/>
      <c r="M718" s="601"/>
      <c r="N718" s="200"/>
      <c r="O718" s="199"/>
      <c r="P718" s="24"/>
      <c r="Q718" s="24"/>
      <c r="R718" s="398"/>
      <c r="S718" s="398"/>
      <c r="T718" s="398"/>
      <c r="U718" s="398"/>
      <c r="V718" s="398"/>
      <c r="W718" s="398"/>
      <c r="X718" s="398"/>
      <c r="Y718" s="398"/>
      <c r="Z718" s="398"/>
      <c r="AA718" s="398"/>
      <c r="AB718" s="200"/>
      <c r="AK718" s="724" t="s">
        <v>2754</v>
      </c>
      <c r="AM718" s="724" t="s">
        <v>2755</v>
      </c>
      <c r="AO718" s="724" t="s">
        <v>2756</v>
      </c>
      <c r="AQ718" s="724" t="s">
        <v>2757</v>
      </c>
    </row>
    <row r="719" spans="1:43" ht="19.95" customHeight="1">
      <c r="A719" s="199"/>
      <c r="B719" s="24"/>
      <c r="C719" s="24"/>
      <c r="D719" s="24"/>
      <c r="E719" s="601"/>
      <c r="F719" s="601"/>
      <c r="G719" s="601"/>
      <c r="H719" s="601"/>
      <c r="I719" s="601"/>
      <c r="J719" s="601"/>
      <c r="K719" s="601"/>
      <c r="L719" s="601"/>
      <c r="M719" s="601"/>
      <c r="N719" s="200"/>
      <c r="O719" s="199"/>
      <c r="P719" s="24"/>
      <c r="Q719" s="24"/>
      <c r="R719" s="398"/>
      <c r="S719" s="398"/>
      <c r="T719" s="398"/>
      <c r="U719" s="398"/>
      <c r="V719" s="398"/>
      <c r="W719" s="398"/>
      <c r="X719" s="398"/>
      <c r="Y719" s="398"/>
      <c r="Z719" s="398"/>
      <c r="AA719" s="398"/>
      <c r="AB719" s="200"/>
      <c r="AK719" s="2" t="s">
        <v>2758</v>
      </c>
      <c r="AM719" s="2" t="s">
        <v>2770</v>
      </c>
      <c r="AO719" s="2" t="s">
        <v>2789</v>
      </c>
      <c r="AQ719" s="2" t="s">
        <v>2780</v>
      </c>
    </row>
    <row r="720" spans="1:43" ht="19.95" customHeight="1">
      <c r="A720" s="199"/>
      <c r="B720" s="24"/>
      <c r="C720" s="24"/>
      <c r="D720" s="24"/>
      <c r="E720" s="601"/>
      <c r="F720" s="601"/>
      <c r="G720" s="601"/>
      <c r="H720" s="601"/>
      <c r="I720" s="601"/>
      <c r="J720" s="601"/>
      <c r="K720" s="601"/>
      <c r="L720" s="601"/>
      <c r="M720" s="601"/>
      <c r="N720" s="200"/>
      <c r="O720" s="199"/>
      <c r="P720" s="24"/>
      <c r="Q720" s="24"/>
      <c r="R720" s="398"/>
      <c r="S720" s="398"/>
      <c r="T720" s="398"/>
      <c r="U720" s="398"/>
      <c r="V720" s="398"/>
      <c r="W720" s="398"/>
      <c r="X720" s="398"/>
      <c r="Y720" s="398"/>
      <c r="Z720" s="398"/>
      <c r="AA720" s="398"/>
      <c r="AB720" s="200"/>
      <c r="AK720" s="2" t="s">
        <v>2759</v>
      </c>
      <c r="AM720" s="2" t="s">
        <v>2771</v>
      </c>
      <c r="AO720" s="2" t="s">
        <v>2790</v>
      </c>
      <c r="AQ720" s="2" t="s">
        <v>2781</v>
      </c>
    </row>
    <row r="721" spans="1:43" ht="19.95" customHeight="1">
      <c r="A721" s="199"/>
      <c r="B721" s="24"/>
      <c r="C721" s="24"/>
      <c r="D721" s="24"/>
      <c r="E721" s="601"/>
      <c r="F721" s="601"/>
      <c r="G721" s="601"/>
      <c r="H721" s="601"/>
      <c r="I721" s="601"/>
      <c r="J721" s="601"/>
      <c r="K721" s="601"/>
      <c r="L721" s="601"/>
      <c r="M721" s="601"/>
      <c r="N721" s="200"/>
      <c r="O721" s="199"/>
      <c r="P721" s="24"/>
      <c r="Q721" s="24"/>
      <c r="R721" s="398"/>
      <c r="S721" s="398"/>
      <c r="T721" s="398"/>
      <c r="U721" s="398"/>
      <c r="V721" s="398"/>
      <c r="W721" s="398"/>
      <c r="X721" s="398"/>
      <c r="Y721" s="398"/>
      <c r="Z721" s="398"/>
      <c r="AA721" s="398"/>
      <c r="AB721" s="200"/>
      <c r="AK721" s="2" t="s">
        <v>2760</v>
      </c>
      <c r="AM721" s="2" t="s">
        <v>2772</v>
      </c>
      <c r="AO721" s="2" t="s">
        <v>2791</v>
      </c>
      <c r="AQ721" s="2" t="s">
        <v>2782</v>
      </c>
    </row>
    <row r="722" spans="1:43" ht="19.95" customHeight="1">
      <c r="A722" s="199"/>
      <c r="B722" s="24"/>
      <c r="C722" s="24"/>
      <c r="D722" s="24"/>
      <c r="E722" s="601"/>
      <c r="F722" s="601"/>
      <c r="G722" s="601"/>
      <c r="H722" s="601"/>
      <c r="I722" s="601"/>
      <c r="J722" s="601"/>
      <c r="K722" s="601"/>
      <c r="L722" s="601"/>
      <c r="M722" s="601"/>
      <c r="N722" s="200"/>
      <c r="O722" s="199"/>
      <c r="P722" s="24"/>
      <c r="Q722" s="24"/>
      <c r="R722" s="398"/>
      <c r="S722" s="398"/>
      <c r="T722" s="398"/>
      <c r="U722" s="398"/>
      <c r="V722" s="398"/>
      <c r="W722" s="398"/>
      <c r="X722" s="398"/>
      <c r="Y722" s="398"/>
      <c r="Z722" s="398"/>
      <c r="AA722" s="398"/>
      <c r="AB722" s="200"/>
      <c r="AK722" s="2" t="s">
        <v>2761</v>
      </c>
      <c r="AM722" s="2" t="s">
        <v>2773</v>
      </c>
      <c r="AO722" s="2" t="s">
        <v>2792</v>
      </c>
      <c r="AQ722" s="2" t="s">
        <v>2783</v>
      </c>
    </row>
    <row r="723" spans="1:43" ht="19.95" customHeight="1">
      <c r="A723" s="199"/>
      <c r="B723" s="24"/>
      <c r="C723" s="24"/>
      <c r="D723" s="24"/>
      <c r="E723" s="601"/>
      <c r="F723" s="601"/>
      <c r="G723" s="601"/>
      <c r="H723" s="601"/>
      <c r="I723" s="601"/>
      <c r="J723" s="601"/>
      <c r="K723" s="601"/>
      <c r="L723" s="601"/>
      <c r="M723" s="601"/>
      <c r="N723" s="200"/>
      <c r="O723" s="199"/>
      <c r="P723" s="24"/>
      <c r="Q723" s="24"/>
      <c r="R723" s="398"/>
      <c r="S723" s="398"/>
      <c r="T723" s="398"/>
      <c r="U723" s="398"/>
      <c r="V723" s="398"/>
      <c r="W723" s="398"/>
      <c r="X723" s="398"/>
      <c r="Y723" s="398"/>
      <c r="Z723" s="398"/>
      <c r="AA723" s="398"/>
      <c r="AB723" s="200"/>
      <c r="AK723" s="2" t="s">
        <v>2762</v>
      </c>
      <c r="AM723" s="2" t="s">
        <v>2774</v>
      </c>
      <c r="AO723" s="2" t="s">
        <v>2793</v>
      </c>
      <c r="AQ723" s="2" t="s">
        <v>2784</v>
      </c>
    </row>
    <row r="724" spans="1:43" ht="19.95" customHeight="1">
      <c r="A724" s="199"/>
      <c r="B724" s="24"/>
      <c r="C724" s="24"/>
      <c r="D724" s="24"/>
      <c r="E724" s="601"/>
      <c r="F724" s="601"/>
      <c r="G724" s="601"/>
      <c r="H724" s="601"/>
      <c r="I724" s="601"/>
      <c r="J724" s="601"/>
      <c r="K724" s="601"/>
      <c r="L724" s="601"/>
      <c r="M724" s="601"/>
      <c r="N724" s="200"/>
      <c r="O724" s="199"/>
      <c r="P724" s="24"/>
      <c r="Q724" s="24"/>
      <c r="R724" s="398"/>
      <c r="S724" s="398"/>
      <c r="T724" s="398"/>
      <c r="U724" s="398"/>
      <c r="V724" s="398"/>
      <c r="W724" s="398"/>
      <c r="X724" s="398"/>
      <c r="Y724" s="398"/>
      <c r="Z724" s="398"/>
      <c r="AA724" s="398"/>
      <c r="AB724" s="200"/>
      <c r="AK724" s="2" t="s">
        <v>2763</v>
      </c>
      <c r="AM724" s="2" t="s">
        <v>2775</v>
      </c>
      <c r="AO724" s="2" t="s">
        <v>2794</v>
      </c>
      <c r="AQ724" s="2" t="s">
        <v>2785</v>
      </c>
    </row>
    <row r="725" spans="1:43" ht="19.95" customHeight="1">
      <c r="A725" s="199"/>
      <c r="B725" s="24"/>
      <c r="C725" s="24"/>
      <c r="D725" s="24"/>
      <c r="E725" s="601"/>
      <c r="F725" s="601"/>
      <c r="G725" s="601"/>
      <c r="H725" s="601"/>
      <c r="I725" s="601"/>
      <c r="J725" s="601"/>
      <c r="K725" s="601"/>
      <c r="L725" s="601"/>
      <c r="M725" s="601"/>
      <c r="N725" s="200"/>
      <c r="O725" s="199"/>
      <c r="P725" s="24"/>
      <c r="Q725" s="24"/>
      <c r="R725" s="398"/>
      <c r="S725" s="398"/>
      <c r="T725" s="398"/>
      <c r="U725" s="398"/>
      <c r="V725" s="398"/>
      <c r="W725" s="398"/>
      <c r="X725" s="398"/>
      <c r="Y725" s="398"/>
      <c r="Z725" s="398"/>
      <c r="AA725" s="398"/>
      <c r="AB725" s="200"/>
      <c r="AK725" s="2" t="s">
        <v>2764</v>
      </c>
      <c r="AM725" s="2" t="s">
        <v>2776</v>
      </c>
      <c r="AO725" s="2" t="s">
        <v>2795</v>
      </c>
      <c r="AQ725" s="2" t="s">
        <v>2786</v>
      </c>
    </row>
    <row r="726" spans="1:43" ht="19.95" customHeight="1">
      <c r="A726" s="199"/>
      <c r="B726" s="24"/>
      <c r="C726" s="24"/>
      <c r="D726" s="24"/>
      <c r="E726" s="601"/>
      <c r="F726" s="601"/>
      <c r="G726" s="601"/>
      <c r="H726" s="601"/>
      <c r="I726" s="601"/>
      <c r="J726" s="601"/>
      <c r="K726" s="601"/>
      <c r="L726" s="601"/>
      <c r="M726" s="601"/>
      <c r="N726" s="200"/>
      <c r="O726" s="199"/>
      <c r="P726" s="24"/>
      <c r="Q726" s="24"/>
      <c r="R726" s="398"/>
      <c r="S726" s="398"/>
      <c r="T726" s="398"/>
      <c r="U726" s="398"/>
      <c r="V726" s="398"/>
      <c r="W726" s="398"/>
      <c r="X726" s="398"/>
      <c r="Y726" s="398"/>
      <c r="Z726" s="398"/>
      <c r="AA726" s="398"/>
      <c r="AB726" s="200"/>
      <c r="AK726" s="2" t="s">
        <v>2765</v>
      </c>
      <c r="AM726" s="2" t="s">
        <v>2777</v>
      </c>
      <c r="AO726" s="2" t="s">
        <v>1495</v>
      </c>
      <c r="AQ726" s="2" t="s">
        <v>2787</v>
      </c>
    </row>
    <row r="727" spans="1:43" ht="19.95" customHeight="1">
      <c r="A727" s="199"/>
      <c r="B727" s="24"/>
      <c r="C727" s="24"/>
      <c r="D727" s="24"/>
      <c r="E727" s="601"/>
      <c r="F727" s="601"/>
      <c r="G727" s="601"/>
      <c r="H727" s="601"/>
      <c r="I727" s="601"/>
      <c r="J727" s="601"/>
      <c r="K727" s="601"/>
      <c r="L727" s="601"/>
      <c r="M727" s="601"/>
      <c r="N727" s="200"/>
      <c r="O727" s="199"/>
      <c r="P727" s="24"/>
      <c r="Q727" s="24"/>
      <c r="R727" s="398"/>
      <c r="S727" s="398"/>
      <c r="T727" s="398"/>
      <c r="U727" s="398"/>
      <c r="V727" s="398"/>
      <c r="W727" s="398"/>
      <c r="X727" s="398"/>
      <c r="Y727" s="398"/>
      <c r="Z727" s="398"/>
      <c r="AA727" s="398"/>
      <c r="AB727" s="200"/>
      <c r="AK727" s="2" t="s">
        <v>2766</v>
      </c>
      <c r="AM727" s="2" t="s">
        <v>2778</v>
      </c>
      <c r="AO727" s="2" t="s">
        <v>2796</v>
      </c>
      <c r="AQ727" s="2" t="s">
        <v>2788</v>
      </c>
    </row>
    <row r="728" spans="1:43" ht="19.95" customHeight="1">
      <c r="A728" s="199"/>
      <c r="B728" s="24"/>
      <c r="C728" s="24"/>
      <c r="D728" s="24"/>
      <c r="E728" s="601"/>
      <c r="F728" s="601"/>
      <c r="G728" s="601"/>
      <c r="H728" s="601"/>
      <c r="I728" s="601"/>
      <c r="J728" s="601"/>
      <c r="K728" s="601"/>
      <c r="L728" s="601"/>
      <c r="M728" s="601"/>
      <c r="N728" s="200"/>
      <c r="O728" s="199"/>
      <c r="P728" s="24"/>
      <c r="Q728" s="24"/>
      <c r="R728" s="398"/>
      <c r="S728" s="398"/>
      <c r="T728" s="398"/>
      <c r="U728" s="398"/>
      <c r="V728" s="398"/>
      <c r="W728" s="398"/>
      <c r="X728" s="398"/>
      <c r="Y728" s="398"/>
      <c r="Z728" s="398"/>
      <c r="AA728" s="398"/>
      <c r="AB728" s="200"/>
      <c r="AK728" s="2" t="s">
        <v>2767</v>
      </c>
      <c r="AM728" s="2" t="s">
        <v>2779</v>
      </c>
      <c r="AO728" s="2" t="s">
        <v>2797</v>
      </c>
    </row>
    <row r="729" spans="1:43" ht="19.95" customHeight="1">
      <c r="A729" s="199"/>
      <c r="B729" s="24"/>
      <c r="C729" s="24"/>
      <c r="D729" s="24"/>
      <c r="E729" s="601"/>
      <c r="F729" s="601"/>
      <c r="G729" s="601"/>
      <c r="H729" s="601"/>
      <c r="I729" s="601"/>
      <c r="J729" s="601"/>
      <c r="K729" s="601"/>
      <c r="L729" s="601"/>
      <c r="M729" s="601"/>
      <c r="N729" s="200"/>
      <c r="O729" s="199"/>
      <c r="P729" s="24"/>
      <c r="Q729" s="24"/>
      <c r="R729" s="398"/>
      <c r="S729" s="398"/>
      <c r="T729" s="398"/>
      <c r="U729" s="398"/>
      <c r="V729" s="398"/>
      <c r="W729" s="398"/>
      <c r="X729" s="398"/>
      <c r="Y729" s="398"/>
      <c r="Z729" s="398"/>
      <c r="AA729" s="398"/>
      <c r="AB729" s="200"/>
      <c r="AK729" s="2" t="s">
        <v>2768</v>
      </c>
      <c r="AM729" s="2" t="s">
        <v>2811</v>
      </c>
      <c r="AO729" s="2" t="s">
        <v>2798</v>
      </c>
    </row>
    <row r="730" spans="1:43" ht="19.95" customHeight="1">
      <c r="A730" s="199"/>
      <c r="B730" s="24"/>
      <c r="C730" s="24"/>
      <c r="D730" s="24"/>
      <c r="E730" s="601"/>
      <c r="F730" s="601"/>
      <c r="G730" s="601"/>
      <c r="H730" s="601"/>
      <c r="I730" s="601"/>
      <c r="J730" s="601"/>
      <c r="K730" s="601"/>
      <c r="L730" s="601"/>
      <c r="M730" s="601"/>
      <c r="N730" s="200"/>
      <c r="O730" s="199"/>
      <c r="P730" s="24"/>
      <c r="Q730" s="24"/>
      <c r="R730" s="398"/>
      <c r="S730" s="398"/>
      <c r="T730" s="398"/>
      <c r="U730" s="398"/>
      <c r="V730" s="398"/>
      <c r="W730" s="398"/>
      <c r="X730" s="398"/>
      <c r="Y730" s="398"/>
      <c r="Z730" s="398"/>
      <c r="AA730" s="398"/>
      <c r="AB730" s="200"/>
      <c r="AK730" s="2" t="s">
        <v>2769</v>
      </c>
      <c r="AM730" s="2" t="s">
        <v>1483</v>
      </c>
      <c r="AO730" s="2" t="s">
        <v>2799</v>
      </c>
    </row>
    <row r="731" spans="1:43" ht="19.95" customHeight="1">
      <c r="A731" s="199"/>
      <c r="B731" s="24"/>
      <c r="C731" s="24"/>
      <c r="D731" s="24"/>
      <c r="E731" s="601"/>
      <c r="F731" s="601"/>
      <c r="G731" s="601"/>
      <c r="H731" s="601"/>
      <c r="I731" s="601"/>
      <c r="J731" s="601"/>
      <c r="K731" s="601"/>
      <c r="L731" s="601"/>
      <c r="M731" s="601"/>
      <c r="N731" s="200"/>
      <c r="O731" s="199"/>
      <c r="P731" s="24"/>
      <c r="Q731" s="24"/>
      <c r="R731" s="398"/>
      <c r="S731" s="398"/>
      <c r="T731" s="398"/>
      <c r="U731" s="398"/>
      <c r="V731" s="398"/>
      <c r="W731" s="398"/>
      <c r="X731" s="398"/>
      <c r="Y731" s="398"/>
      <c r="Z731" s="398"/>
      <c r="AA731" s="398"/>
      <c r="AB731" s="200"/>
      <c r="AO731" s="2" t="s">
        <v>2800</v>
      </c>
    </row>
    <row r="732" spans="1:43" ht="19.95" customHeight="1">
      <c r="A732" s="199"/>
      <c r="B732" s="24"/>
      <c r="C732" s="24"/>
      <c r="D732" s="24"/>
      <c r="E732" s="601"/>
      <c r="F732" s="601"/>
      <c r="G732" s="601"/>
      <c r="H732" s="601"/>
      <c r="I732" s="601"/>
      <c r="J732" s="601"/>
      <c r="K732" s="601"/>
      <c r="L732" s="601"/>
      <c r="M732" s="601"/>
      <c r="N732" s="200"/>
      <c r="O732" s="199"/>
      <c r="P732" s="24"/>
      <c r="Q732" s="24"/>
      <c r="R732" s="398"/>
      <c r="S732" s="398"/>
      <c r="T732" s="398"/>
      <c r="U732" s="398"/>
      <c r="V732" s="398"/>
      <c r="W732" s="398"/>
      <c r="X732" s="398"/>
      <c r="Y732" s="398"/>
      <c r="Z732" s="398"/>
      <c r="AA732" s="398"/>
      <c r="AB732" s="200"/>
      <c r="AI732" s="2">
        <f>IF(D737="",1,0)</f>
        <v>1</v>
      </c>
      <c r="AO732" s="2" t="s">
        <v>2801</v>
      </c>
    </row>
    <row r="733" spans="1:43" ht="19.95" customHeight="1">
      <c r="A733" s="199"/>
      <c r="B733" s="24"/>
      <c r="C733" s="24"/>
      <c r="D733" s="24"/>
      <c r="E733" s="601"/>
      <c r="F733" s="601"/>
      <c r="G733" s="601"/>
      <c r="H733" s="601"/>
      <c r="I733" s="601"/>
      <c r="J733" s="601"/>
      <c r="K733" s="601"/>
      <c r="L733" s="601"/>
      <c r="M733" s="601"/>
      <c r="N733" s="200"/>
      <c r="O733" s="199"/>
      <c r="P733" s="24"/>
      <c r="Q733" s="24"/>
      <c r="R733" s="398"/>
      <c r="S733" s="398"/>
      <c r="T733" s="398"/>
      <c r="U733" s="398"/>
      <c r="V733" s="398"/>
      <c r="W733" s="398"/>
      <c r="X733" s="398"/>
      <c r="Y733" s="398"/>
      <c r="Z733" s="398"/>
      <c r="AA733" s="398"/>
      <c r="AB733" s="200"/>
      <c r="AI733" s="2">
        <f>IF(D738="",1,0)</f>
        <v>1</v>
      </c>
      <c r="AO733" s="2" t="s">
        <v>2802</v>
      </c>
    </row>
    <row r="734" spans="1:43" ht="19.95" customHeight="1">
      <c r="A734" s="199"/>
      <c r="B734" s="722"/>
      <c r="C734" s="722"/>
      <c r="D734" s="722"/>
      <c r="E734" s="722"/>
      <c r="F734" s="722"/>
      <c r="G734" s="722"/>
      <c r="H734" s="722"/>
      <c r="I734" s="722"/>
      <c r="J734" s="722"/>
      <c r="K734" s="722"/>
      <c r="L734" s="722"/>
      <c r="M734" s="722"/>
      <c r="N734" s="200"/>
      <c r="O734" s="199"/>
      <c r="P734" s="24"/>
      <c r="Q734" s="24"/>
      <c r="R734" s="398"/>
      <c r="S734" s="398"/>
      <c r="T734" s="398"/>
      <c r="U734" s="398"/>
      <c r="V734" s="398"/>
      <c r="W734" s="398"/>
      <c r="X734" s="398"/>
      <c r="Y734" s="398"/>
      <c r="Z734" s="398"/>
      <c r="AA734" s="398"/>
      <c r="AB734" s="200"/>
      <c r="AI734" s="2">
        <f>IF(J737="",1,0)</f>
        <v>1</v>
      </c>
      <c r="AO734" s="2" t="s">
        <v>2803</v>
      </c>
    </row>
    <row r="735" spans="1:43" ht="19.95" customHeight="1">
      <c r="A735" s="723" t="s">
        <v>2455</v>
      </c>
      <c r="B735" s="661"/>
      <c r="C735" s="391"/>
      <c r="D735" s="391"/>
      <c r="E735" s="391"/>
      <c r="F735" s="391"/>
      <c r="G735" s="391"/>
      <c r="H735" s="391"/>
      <c r="I735" s="391"/>
      <c r="J735" s="391"/>
      <c r="K735" s="391"/>
      <c r="L735" s="391"/>
      <c r="M735" s="391"/>
      <c r="N735" s="200"/>
      <c r="O735" s="199"/>
      <c r="P735" s="24"/>
      <c r="Q735" s="24"/>
      <c r="R735" s="398"/>
      <c r="S735" s="398"/>
      <c r="T735" s="398"/>
      <c r="U735" s="398"/>
      <c r="V735" s="398"/>
      <c r="W735" s="398"/>
      <c r="X735" s="398"/>
      <c r="Y735" s="398"/>
      <c r="Z735" s="398"/>
      <c r="AA735" s="398"/>
      <c r="AB735" s="200"/>
      <c r="AI735" s="2">
        <f>IF(J738="",1,0)</f>
        <v>1</v>
      </c>
      <c r="AO735" s="2" t="s">
        <v>2804</v>
      </c>
    </row>
    <row r="736" spans="1:43" ht="19.95" customHeight="1" thickBot="1">
      <c r="A736" s="723"/>
      <c r="B736" s="601" t="s">
        <v>3160</v>
      </c>
      <c r="C736" s="391"/>
      <c r="D736" s="391"/>
      <c r="E736" s="391"/>
      <c r="F736" s="391"/>
      <c r="G736" s="391"/>
      <c r="H736" s="391"/>
      <c r="I736" s="391"/>
      <c r="J736" s="391"/>
      <c r="K736" s="391"/>
      <c r="L736" s="391"/>
      <c r="M736" s="391"/>
      <c r="N736" s="200"/>
      <c r="O736" s="199"/>
      <c r="P736" s="24"/>
      <c r="Q736" s="24"/>
      <c r="R736" s="398"/>
      <c r="S736" s="398"/>
      <c r="T736" s="398"/>
      <c r="U736" s="398"/>
      <c r="V736" s="398"/>
      <c r="W736" s="398"/>
      <c r="X736" s="398"/>
      <c r="Y736" s="398"/>
      <c r="Z736" s="398"/>
      <c r="AA736" s="398"/>
      <c r="AB736" s="200"/>
      <c r="AO736" s="2" t="s">
        <v>2805</v>
      </c>
    </row>
    <row r="737" spans="1:43" ht="19.95" customHeight="1" thickBot="1">
      <c r="A737" s="199"/>
      <c r="B737" s="601"/>
      <c r="C737" s="725" t="s">
        <v>1429</v>
      </c>
      <c r="D737" s="1345"/>
      <c r="E737" s="1346"/>
      <c r="F737" s="1346"/>
      <c r="G737" s="1347"/>
      <c r="H737" s="391"/>
      <c r="I737" s="725" t="s">
        <v>2751</v>
      </c>
      <c r="J737" s="1345"/>
      <c r="K737" s="1346"/>
      <c r="L737" s="1346"/>
      <c r="M737" s="1347"/>
      <c r="N737" s="200"/>
      <c r="O737" s="199"/>
      <c r="P737" s="24"/>
      <c r="Q737" s="24"/>
      <c r="R737" s="398"/>
      <c r="S737" s="398"/>
      <c r="T737" s="398"/>
      <c r="U737" s="398"/>
      <c r="V737" s="398"/>
      <c r="W737" s="398"/>
      <c r="X737" s="398"/>
      <c r="Y737" s="398"/>
      <c r="Z737" s="398"/>
      <c r="AA737" s="398"/>
      <c r="AB737" s="200"/>
      <c r="AO737" s="2" t="s">
        <v>2806</v>
      </c>
    </row>
    <row r="738" spans="1:43" ht="19.95" customHeight="1" thickBot="1">
      <c r="A738" s="199"/>
      <c r="B738" s="391"/>
      <c r="C738" s="725" t="s">
        <v>2752</v>
      </c>
      <c r="D738" s="1348"/>
      <c r="E738" s="1349"/>
      <c r="F738" s="1349"/>
      <c r="G738" s="1350"/>
      <c r="H738" s="391"/>
      <c r="I738" s="725" t="s">
        <v>2753</v>
      </c>
      <c r="J738" s="1351"/>
      <c r="K738" s="1352"/>
      <c r="L738" s="1352"/>
      <c r="M738" s="1353"/>
      <c r="N738" s="200"/>
      <c r="O738" s="199"/>
      <c r="P738" s="24"/>
      <c r="Q738" s="24"/>
      <c r="R738" s="398"/>
      <c r="S738" s="398"/>
      <c r="T738" s="398"/>
      <c r="U738" s="398"/>
      <c r="V738" s="398"/>
      <c r="W738" s="398"/>
      <c r="X738" s="398"/>
      <c r="Y738" s="398"/>
      <c r="Z738" s="398"/>
      <c r="AA738" s="398"/>
      <c r="AB738" s="200"/>
      <c r="AI738" s="459" t="str">
        <f>IF(SUM($AI$732:$AI$735)&gt;0,AK738,AI740)</f>
        <v>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v>
      </c>
      <c r="AK738" s="465" t="s">
        <v>2813</v>
      </c>
    </row>
    <row r="739" spans="1:43" ht="4.95" customHeight="1">
      <c r="A739" s="199"/>
      <c r="B739" s="601"/>
      <c r="C739" s="601"/>
      <c r="D739" s="601"/>
      <c r="E739" s="601"/>
      <c r="F739" s="601"/>
      <c r="G739" s="601"/>
      <c r="H739" s="601"/>
      <c r="I739" s="601"/>
      <c r="J739" s="601"/>
      <c r="K739" s="601"/>
      <c r="L739" s="601"/>
      <c r="M739" s="601"/>
      <c r="N739" s="200"/>
      <c r="O739" s="199"/>
      <c r="P739" s="24"/>
      <c r="Q739" s="24"/>
      <c r="R739" s="398"/>
      <c r="S739" s="398"/>
      <c r="T739" s="398"/>
      <c r="U739" s="398"/>
      <c r="V739" s="398"/>
      <c r="W739" s="398"/>
      <c r="X739" s="398"/>
      <c r="Y739" s="398"/>
      <c r="Z739" s="398"/>
      <c r="AA739" s="398"/>
      <c r="AB739" s="200"/>
    </row>
    <row r="740" spans="1:43" ht="22.05" customHeight="1">
      <c r="A740" s="199"/>
      <c r="B740" s="1277" t="str">
        <f>AI738</f>
        <v>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v>
      </c>
      <c r="C740" s="1277"/>
      <c r="D740" s="1277"/>
      <c r="E740" s="1277"/>
      <c r="F740" s="1277"/>
      <c r="G740" s="1277"/>
      <c r="H740" s="1277"/>
      <c r="I740" s="1277"/>
      <c r="J740" s="1277"/>
      <c r="K740" s="1277"/>
      <c r="L740" s="1277"/>
      <c r="M740" s="1277"/>
      <c r="N740" s="200"/>
      <c r="O740" s="199"/>
      <c r="P740" s="24"/>
      <c r="Q740" s="24"/>
      <c r="R740" s="398"/>
      <c r="S740" s="398"/>
      <c r="T740" s="398"/>
      <c r="U740" s="398"/>
      <c r="V740" s="398"/>
      <c r="W740" s="398"/>
      <c r="X740" s="398"/>
      <c r="Y740" s="398"/>
      <c r="Z740" s="398"/>
      <c r="AA740" s="398"/>
      <c r="AB740" s="200"/>
      <c r="AI740" s="459" t="str">
        <f>CONCATENATE(AK740,AL740,AM740,AN740,AO740,AP740,AQ740,AR740)</f>
        <v>This week, I received my first reply from one of the political leaders I contacted. It was encouraging. The more I speak truth to power, the more I find my addiction to 0 has less of a hold on me. My intense fear of 0 also subsides. Now that I feel more empowered over my life, I no longer suffer as much from 0.</v>
      </c>
      <c r="AK740" s="409" t="s">
        <v>2807</v>
      </c>
      <c r="AL740" s="2">
        <f>J737</f>
        <v>0</v>
      </c>
      <c r="AM740" s="409" t="s">
        <v>2808</v>
      </c>
      <c r="AN740" s="2">
        <f>D737</f>
        <v>0</v>
      </c>
      <c r="AO740" s="409" t="s">
        <v>2809</v>
      </c>
      <c r="AP740" s="2">
        <f>D738</f>
        <v>0</v>
      </c>
      <c r="AQ740" s="409" t="s">
        <v>706</v>
      </c>
    </row>
    <row r="741" spans="1:43" ht="22.05" customHeight="1">
      <c r="A741" s="199"/>
      <c r="B741" s="1277"/>
      <c r="C741" s="1277"/>
      <c r="D741" s="1277"/>
      <c r="E741" s="1277"/>
      <c r="F741" s="1277"/>
      <c r="G741" s="1277"/>
      <c r="H741" s="1277"/>
      <c r="I741" s="1277"/>
      <c r="J741" s="1277"/>
      <c r="K741" s="1277"/>
      <c r="L741" s="1277"/>
      <c r="M741" s="1277"/>
      <c r="N741" s="200"/>
      <c r="O741" s="199"/>
      <c r="P741" s="24"/>
      <c r="Q741" s="24"/>
      <c r="R741" s="398"/>
      <c r="S741" s="398"/>
      <c r="T741" s="398"/>
      <c r="U741" s="398"/>
      <c r="V741" s="398"/>
      <c r="W741" s="398"/>
      <c r="X741" s="398"/>
      <c r="Y741" s="398"/>
      <c r="Z741" s="398"/>
      <c r="AA741" s="398"/>
      <c r="AB741" s="200"/>
    </row>
    <row r="742" spans="1:43" ht="22.05" customHeight="1">
      <c r="A742" s="199"/>
      <c r="B742" s="1277"/>
      <c r="C742" s="1277"/>
      <c r="D742" s="1277"/>
      <c r="E742" s="1277"/>
      <c r="F742" s="1277"/>
      <c r="G742" s="1277"/>
      <c r="H742" s="1277"/>
      <c r="I742" s="1277"/>
      <c r="J742" s="1277"/>
      <c r="K742" s="1277"/>
      <c r="L742" s="1277"/>
      <c r="M742" s="1277"/>
      <c r="N742" s="200"/>
      <c r="O742" s="199"/>
      <c r="P742" s="24"/>
      <c r="Q742" s="24"/>
      <c r="R742" s="398"/>
      <c r="S742" s="398"/>
      <c r="T742" s="398"/>
      <c r="U742" s="398"/>
      <c r="V742" s="398"/>
      <c r="W742" s="398"/>
      <c r="X742" s="398"/>
      <c r="Y742" s="398"/>
      <c r="Z742" s="398"/>
      <c r="AA742" s="398"/>
      <c r="AB742" s="200"/>
      <c r="AI742" s="459" t="str">
        <f>IF(SUM($AI$732:$AI$735)&gt;0,AK742,AI744)</f>
        <v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v>
      </c>
      <c r="AK742" s="465" t="s">
        <v>2812</v>
      </c>
    </row>
    <row r="743" spans="1:43" ht="22.05" customHeight="1">
      <c r="A743" s="199"/>
      <c r="B743" s="1277"/>
      <c r="C743" s="1277"/>
      <c r="D743" s="1277"/>
      <c r="E743" s="1277"/>
      <c r="F743" s="1277"/>
      <c r="G743" s="1277"/>
      <c r="H743" s="1277"/>
      <c r="I743" s="1277"/>
      <c r="J743" s="1277"/>
      <c r="K743" s="1277"/>
      <c r="L743" s="1277"/>
      <c r="M743" s="1277"/>
      <c r="N743" s="200"/>
      <c r="O743" s="199"/>
      <c r="P743" s="24"/>
      <c r="Q743" s="24"/>
      <c r="R743" s="398"/>
      <c r="S743" s="398"/>
      <c r="T743" s="398"/>
      <c r="U743" s="398"/>
      <c r="V743" s="398"/>
      <c r="W743" s="398"/>
      <c r="X743" s="398"/>
      <c r="Y743" s="398"/>
      <c r="Z743" s="398"/>
      <c r="AA743" s="398"/>
      <c r="AB743" s="200"/>
    </row>
    <row r="744" spans="1:43" ht="24" customHeight="1">
      <c r="A744" s="199"/>
      <c r="B744" s="1277" t="str">
        <f>AI742</f>
        <v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v>
      </c>
      <c r="C744" s="1277"/>
      <c r="D744" s="1277"/>
      <c r="E744" s="1277"/>
      <c r="F744" s="1277"/>
      <c r="G744" s="1277"/>
      <c r="H744" s="1277"/>
      <c r="I744" s="1277"/>
      <c r="J744" s="1277"/>
      <c r="K744" s="1277"/>
      <c r="L744" s="1277"/>
      <c r="M744" s="1277"/>
      <c r="N744" s="200"/>
      <c r="O744" s="199"/>
      <c r="P744" s="24"/>
      <c r="Q744" s="24"/>
      <c r="R744" s="398"/>
      <c r="S744" s="398"/>
      <c r="T744" s="398"/>
      <c r="U744" s="398"/>
      <c r="V744" s="398"/>
      <c r="W744" s="398"/>
      <c r="X744" s="398"/>
      <c r="Y744" s="398"/>
      <c r="Z744" s="398"/>
      <c r="AA744" s="398"/>
      <c r="AB744" s="200"/>
      <c r="AI744" s="459" t="str">
        <f>CONCATENATE(AK744,AL744,AM744,AN744,AO744,AP744,AQ744,AR744,AS744)</f>
        <v>As for anxiety, I started with a BAI score of 23. I am now down to 11. As for depression, I started with a BDI score of 26. I am now down to 12. As for hopelessness, I started with a BHI score of 19. I am now down to 8. So far, I ascribe the bulk of such improvement to feeling empowered. Thanks to your support, I now have a better sense of my 0. I can rely less on political generalizing, to address each other’s specific  affected needs.</v>
      </c>
      <c r="AK744" s="409" t="s">
        <v>2814</v>
      </c>
      <c r="AL744" s="2">
        <f>J738</f>
        <v>0</v>
      </c>
      <c r="AM744" s="409" t="s">
        <v>2810</v>
      </c>
      <c r="AN744" s="607" t="str">
        <f>D1300</f>
        <v/>
      </c>
      <c r="AO744" s="409" t="s">
        <v>2615</v>
      </c>
    </row>
    <row r="745" spans="1:43" ht="24" customHeight="1">
      <c r="A745" s="199"/>
      <c r="B745" s="1277"/>
      <c r="C745" s="1277"/>
      <c r="D745" s="1277"/>
      <c r="E745" s="1277"/>
      <c r="F745" s="1277"/>
      <c r="G745" s="1277"/>
      <c r="H745" s="1277"/>
      <c r="I745" s="1277"/>
      <c r="J745" s="1277"/>
      <c r="K745" s="1277"/>
      <c r="L745" s="1277"/>
      <c r="M745" s="1277"/>
      <c r="N745" s="200"/>
      <c r="O745" s="199"/>
      <c r="P745" s="24"/>
      <c r="Q745" s="24"/>
      <c r="R745" s="398"/>
      <c r="S745" s="398"/>
      <c r="T745" s="398"/>
      <c r="U745" s="398"/>
      <c r="V745" s="398"/>
      <c r="W745" s="398"/>
      <c r="X745" s="398"/>
      <c r="Y745" s="398"/>
      <c r="Z745" s="398"/>
      <c r="AA745" s="398"/>
      <c r="AB745" s="200"/>
    </row>
    <row r="746" spans="1:43" ht="24" customHeight="1">
      <c r="A746" s="199"/>
      <c r="B746" s="1277"/>
      <c r="C746" s="1277"/>
      <c r="D746" s="1277"/>
      <c r="E746" s="1277"/>
      <c r="F746" s="1277"/>
      <c r="G746" s="1277"/>
      <c r="H746" s="1277"/>
      <c r="I746" s="1277"/>
      <c r="J746" s="1277"/>
      <c r="K746" s="1277"/>
      <c r="L746" s="1277"/>
      <c r="M746" s="1277"/>
      <c r="N746" s="200"/>
      <c r="O746" s="199"/>
      <c r="P746" s="24"/>
      <c r="Q746" s="24"/>
      <c r="R746" s="398"/>
      <c r="S746" s="398"/>
      <c r="T746" s="398"/>
      <c r="U746" s="398"/>
      <c r="V746" s="398"/>
      <c r="W746" s="398"/>
      <c r="X746" s="398"/>
      <c r="Y746" s="398"/>
      <c r="Z746" s="398"/>
      <c r="AA746" s="398"/>
      <c r="AB746" s="200"/>
    </row>
    <row r="747" spans="1:43" ht="24" customHeight="1">
      <c r="A747" s="199"/>
      <c r="B747" s="1277"/>
      <c r="C747" s="1277"/>
      <c r="D747" s="1277"/>
      <c r="E747" s="1277"/>
      <c r="F747" s="1277"/>
      <c r="G747" s="1277"/>
      <c r="H747" s="1277"/>
      <c r="I747" s="1277"/>
      <c r="J747" s="1277"/>
      <c r="K747" s="1277"/>
      <c r="L747" s="1277"/>
      <c r="M747" s="1277"/>
      <c r="N747" s="200"/>
      <c r="O747" s="199"/>
      <c r="P747" s="24"/>
      <c r="Q747" s="24"/>
      <c r="R747" s="398"/>
      <c r="S747" s="398"/>
      <c r="T747" s="398"/>
      <c r="U747" s="398"/>
      <c r="V747" s="398"/>
      <c r="W747" s="398"/>
      <c r="X747" s="398"/>
      <c r="Y747" s="398"/>
      <c r="Z747" s="398"/>
      <c r="AA747" s="398"/>
      <c r="AB747" s="200"/>
    </row>
    <row r="748" spans="1:43" ht="4.95" customHeight="1">
      <c r="A748" s="199"/>
      <c r="B748" s="24"/>
      <c r="C748" s="24"/>
      <c r="D748" s="24"/>
      <c r="E748" s="24"/>
      <c r="F748" s="24"/>
      <c r="G748" s="24"/>
      <c r="H748" s="24"/>
      <c r="I748" s="24"/>
      <c r="J748" s="24"/>
      <c r="K748" s="24"/>
      <c r="L748" s="24"/>
      <c r="M748" s="24"/>
      <c r="N748" s="200"/>
      <c r="O748" s="199"/>
      <c r="P748" s="24"/>
      <c r="Q748" s="24"/>
      <c r="R748" s="398"/>
      <c r="S748" s="398"/>
      <c r="T748" s="398"/>
      <c r="U748" s="398"/>
      <c r="V748" s="398"/>
      <c r="W748" s="398"/>
      <c r="X748" s="398"/>
      <c r="Y748" s="398"/>
      <c r="Z748" s="398"/>
      <c r="AA748" s="398"/>
      <c r="AB748" s="200"/>
    </row>
    <row r="749" spans="1:43" ht="30" customHeight="1">
      <c r="A749" s="210" t="s">
        <v>1148</v>
      </c>
      <c r="B749" s="579" t="s">
        <v>3150</v>
      </c>
      <c r="C749" s="582"/>
      <c r="D749" s="582"/>
      <c r="E749" s="375"/>
      <c r="F749" s="374"/>
      <c r="G749" s="373"/>
      <c r="H749" s="373"/>
      <c r="I749" s="373"/>
      <c r="J749" s="373"/>
      <c r="K749" s="373"/>
      <c r="L749" s="373"/>
      <c r="M749" s="373"/>
      <c r="N749" s="211" t="s">
        <v>1149</v>
      </c>
      <c r="O749" s="372"/>
      <c r="P749" s="374"/>
      <c r="Q749" s="373"/>
      <c r="R749" s="373"/>
      <c r="S749" s="373"/>
      <c r="T749" s="373"/>
      <c r="U749" s="373"/>
      <c r="V749" s="373"/>
      <c r="W749" s="373"/>
      <c r="X749" s="373"/>
      <c r="Y749" s="373"/>
      <c r="Z749" s="373"/>
      <c r="AA749" s="373"/>
      <c r="AB749" s="211" t="s">
        <v>1149</v>
      </c>
    </row>
    <row r="750" spans="1:43" ht="10.050000000000001" customHeight="1">
      <c r="A750" s="199"/>
      <c r="B750" s="24"/>
      <c r="C750" s="24"/>
      <c r="D750" s="24"/>
      <c r="E750" s="24"/>
      <c r="F750" s="24"/>
      <c r="G750" s="24"/>
      <c r="H750" s="24"/>
      <c r="I750" s="24"/>
      <c r="J750" s="24"/>
      <c r="K750" s="24"/>
      <c r="L750" s="24"/>
      <c r="M750" s="24"/>
      <c r="N750" s="200"/>
      <c r="O750" s="199"/>
      <c r="P750" s="24"/>
      <c r="Q750" s="24"/>
      <c r="R750" s="398"/>
      <c r="S750" s="398"/>
      <c r="T750" s="398"/>
      <c r="U750" s="398"/>
      <c r="V750" s="398"/>
      <c r="W750" s="398"/>
      <c r="X750" s="398"/>
      <c r="Y750" s="398"/>
      <c r="Z750" s="398"/>
      <c r="AA750" s="398"/>
      <c r="AB750" s="200"/>
    </row>
    <row r="751" spans="1:43" ht="19.95" customHeight="1">
      <c r="A751" s="199"/>
      <c r="B751" s="719" t="s">
        <v>2735</v>
      </c>
      <c r="C751" s="24"/>
      <c r="D751" s="24"/>
      <c r="E751" s="24"/>
      <c r="F751" s="24"/>
      <c r="G751" s="24"/>
      <c r="H751" s="24"/>
      <c r="I751" s="24"/>
      <c r="J751" s="24"/>
      <c r="K751" s="24"/>
      <c r="L751" s="24"/>
      <c r="M751" s="24"/>
      <c r="N751" s="200"/>
      <c r="O751" s="199"/>
      <c r="P751" s="660"/>
      <c r="Q751" s="24"/>
      <c r="R751" s="398"/>
      <c r="S751" s="398"/>
      <c r="T751" s="398"/>
      <c r="U751" s="398"/>
      <c r="V751" s="398"/>
      <c r="W751" s="398"/>
      <c r="X751" s="398"/>
      <c r="Y751" s="398"/>
      <c r="Z751" s="398"/>
      <c r="AA751" s="398"/>
      <c r="AB751" s="200"/>
      <c r="AI751" s="459" t="str">
        <f>CONCATENATE(AK751,AL751,AM751,AN751,AO751,AP751,AQ751,AR751)</f>
        <v/>
      </c>
      <c r="AK751" s="409"/>
    </row>
    <row r="752" spans="1:43" ht="10.050000000000001" customHeight="1">
      <c r="A752" s="199"/>
      <c r="B752" s="24"/>
      <c r="C752" s="24"/>
      <c r="D752" s="24"/>
      <c r="E752" s="24"/>
      <c r="F752" s="24"/>
      <c r="G752" s="24"/>
      <c r="H752" s="24"/>
      <c r="I752" s="24"/>
      <c r="J752" s="24"/>
      <c r="K752" s="24"/>
      <c r="L752" s="24"/>
      <c r="M752" s="24"/>
      <c r="N752" s="200"/>
      <c r="O752" s="199"/>
      <c r="P752" s="24"/>
      <c r="Q752" s="24"/>
      <c r="R752" s="398"/>
      <c r="S752" s="398"/>
      <c r="T752" s="398"/>
      <c r="U752" s="398"/>
      <c r="V752" s="398"/>
      <c r="W752" s="398"/>
      <c r="X752" s="398"/>
      <c r="Y752" s="398"/>
      <c r="Z752" s="398"/>
      <c r="AA752" s="398"/>
      <c r="AB752" s="200"/>
    </row>
    <row r="753" spans="1:41" ht="19.95" customHeight="1">
      <c r="A753" s="199"/>
      <c r="B753" s="601"/>
      <c r="C753" s="601"/>
      <c r="D753" s="601"/>
      <c r="E753" s="601"/>
      <c r="F753" s="601"/>
      <c r="G753" s="601"/>
      <c r="H753" s="601"/>
      <c r="I753" s="601"/>
      <c r="J753" s="601"/>
      <c r="K753" s="601"/>
      <c r="L753" s="601"/>
      <c r="M753" s="601"/>
      <c r="N753" s="200"/>
      <c r="O753" s="199"/>
      <c r="P753" s="24"/>
      <c r="Q753" s="24"/>
      <c r="R753" s="24"/>
      <c r="S753" s="24"/>
      <c r="T753" s="24"/>
      <c r="U753" s="24"/>
      <c r="V753" s="24"/>
      <c r="W753" s="24"/>
      <c r="X753" s="24"/>
      <c r="Y753" s="24"/>
      <c r="Z753" s="24"/>
      <c r="AA753" s="398"/>
      <c r="AB753" s="200"/>
    </row>
    <row r="754" spans="1:41" ht="19.95" customHeight="1">
      <c r="A754" s="199"/>
      <c r="B754" s="601"/>
      <c r="C754" s="601"/>
      <c r="D754" s="601"/>
      <c r="E754" s="601"/>
      <c r="F754" s="601"/>
      <c r="G754" s="601"/>
      <c r="H754" s="601"/>
      <c r="I754" s="601"/>
      <c r="J754" s="601"/>
      <c r="K754" s="601"/>
      <c r="L754" s="601"/>
      <c r="M754" s="601"/>
      <c r="N754" s="200"/>
      <c r="O754" s="199"/>
      <c r="P754" s="24"/>
      <c r="Q754" s="24"/>
      <c r="R754" s="398"/>
      <c r="S754" s="398"/>
      <c r="T754" s="398"/>
      <c r="U754" s="398"/>
      <c r="V754" s="398"/>
      <c r="W754" s="398"/>
      <c r="X754" s="398"/>
      <c r="Y754" s="398"/>
      <c r="Z754" s="398"/>
      <c r="AA754" s="398"/>
      <c r="AB754" s="200"/>
    </row>
    <row r="755" spans="1:41" ht="19.95" customHeight="1">
      <c r="A755" s="199"/>
      <c r="B755" s="601"/>
      <c r="C755" s="601"/>
      <c r="D755" s="601"/>
      <c r="E755" s="601"/>
      <c r="F755" s="601"/>
      <c r="G755" s="601"/>
      <c r="H755" s="601"/>
      <c r="I755" s="601"/>
      <c r="J755" s="601"/>
      <c r="K755" s="601"/>
      <c r="L755" s="601"/>
      <c r="M755" s="601"/>
      <c r="N755" s="200"/>
      <c r="O755" s="199"/>
      <c r="P755" s="24"/>
      <c r="Q755" s="24"/>
      <c r="R755" s="398"/>
      <c r="S755" s="398"/>
      <c r="T755" s="398"/>
      <c r="U755" s="398"/>
      <c r="V755" s="398"/>
      <c r="W755" s="398"/>
      <c r="X755" s="398"/>
      <c r="Y755" s="398"/>
      <c r="Z755" s="398"/>
      <c r="AA755" s="398"/>
      <c r="AB755" s="200"/>
    </row>
    <row r="756" spans="1:41" ht="19.95" customHeight="1">
      <c r="A756" s="199"/>
      <c r="B756" s="601"/>
      <c r="C756" s="601"/>
      <c r="D756" s="601"/>
      <c r="E756" s="601"/>
      <c r="F756" s="601"/>
      <c r="G756" s="601"/>
      <c r="H756" s="601"/>
      <c r="I756" s="601"/>
      <c r="J756" s="601"/>
      <c r="K756" s="601"/>
      <c r="L756" s="601"/>
      <c r="M756" s="601"/>
      <c r="N756" s="200"/>
      <c r="O756" s="199"/>
      <c r="P756" s="24"/>
      <c r="Q756" s="24"/>
      <c r="R756" s="398"/>
      <c r="S756" s="398"/>
      <c r="T756" s="398"/>
      <c r="U756" s="398"/>
      <c r="V756" s="398"/>
      <c r="W756" s="398"/>
      <c r="X756" s="398"/>
      <c r="Y756" s="398"/>
      <c r="Z756" s="398"/>
      <c r="AA756" s="398"/>
      <c r="AB756" s="200"/>
    </row>
    <row r="757" spans="1:41" ht="19.95" customHeight="1">
      <c r="A757" s="199"/>
      <c r="B757" s="601"/>
      <c r="C757" s="601"/>
      <c r="D757" s="601"/>
      <c r="E757" s="601"/>
      <c r="F757" s="601"/>
      <c r="G757" s="601"/>
      <c r="H757" s="601"/>
      <c r="I757" s="601"/>
      <c r="J757" s="601"/>
      <c r="K757" s="601"/>
      <c r="L757" s="601"/>
      <c r="M757" s="601"/>
      <c r="N757" s="200"/>
      <c r="O757" s="199"/>
      <c r="P757" s="24"/>
      <c r="Q757" s="24"/>
      <c r="R757" s="398"/>
      <c r="S757" s="398"/>
      <c r="T757" s="398"/>
      <c r="U757" s="398"/>
      <c r="V757" s="398"/>
      <c r="W757" s="398"/>
      <c r="X757" s="398"/>
      <c r="Y757" s="398"/>
      <c r="Z757" s="398"/>
      <c r="AA757" s="398"/>
      <c r="AB757" s="200"/>
      <c r="AI757" s="459" t="str">
        <f>IF(OR($I$1270=0,$B$1300=""),AK757,AI759)</f>
        <v xml:space="preserve">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v>
      </c>
      <c r="AK757" s="465" t="s">
        <v>1822</v>
      </c>
    </row>
    <row r="758" spans="1:41" ht="19.95" customHeight="1">
      <c r="A758" s="199"/>
      <c r="B758" s="24"/>
      <c r="C758" s="24"/>
      <c r="D758" s="24"/>
      <c r="E758" s="24"/>
      <c r="F758" s="24"/>
      <c r="G758" s="24"/>
      <c r="H758" s="24"/>
      <c r="I758" s="24"/>
      <c r="J758" s="24"/>
      <c r="K758" s="24"/>
      <c r="L758" s="24"/>
      <c r="M758" s="24"/>
      <c r="N758" s="200"/>
      <c r="O758" s="199"/>
      <c r="P758" s="24"/>
      <c r="Q758" s="24"/>
      <c r="R758" s="398"/>
      <c r="S758" s="398"/>
      <c r="T758" s="398"/>
      <c r="U758" s="398"/>
      <c r="V758" s="398"/>
      <c r="W758" s="398"/>
      <c r="X758" s="398"/>
      <c r="Y758" s="398"/>
      <c r="Z758" s="398"/>
      <c r="AA758" s="398"/>
      <c r="AB758" s="200"/>
    </row>
    <row r="759" spans="1:41" ht="19.95" customHeight="1">
      <c r="A759" s="199"/>
      <c r="B759" s="601"/>
      <c r="C759" s="601"/>
      <c r="D759" s="601"/>
      <c r="E759" s="601"/>
      <c r="F759" s="601"/>
      <c r="G759" s="601"/>
      <c r="H759" s="601"/>
      <c r="I759" s="601"/>
      <c r="J759" s="601"/>
      <c r="K759" s="601"/>
      <c r="L759" s="601"/>
      <c r="M759" s="601"/>
      <c r="N759" s="200"/>
      <c r="O759" s="199"/>
      <c r="P759" s="24"/>
      <c r="Q759" s="24"/>
      <c r="R759" s="398"/>
      <c r="S759" s="398"/>
      <c r="T759" s="398"/>
      <c r="U759" s="398"/>
      <c r="V759" s="398"/>
      <c r="W759" s="398"/>
      <c r="X759" s="398"/>
      <c r="Y759" s="398"/>
      <c r="Z759" s="398"/>
      <c r="AA759" s="398"/>
      <c r="AB759" s="200"/>
      <c r="AI759" s="459" t="str">
        <f>CONCATENATE(AK759,AL759,AM759,AN759,AO759,AP759,AQ757,AR757)</f>
        <v xml:space="preserve">Divisive politics lets you judge the other side by its most exaggerated generalizations. Then it upholds your side by casting its most exaggerated generalizations as mere aberration. Divisive politics tempts your client to view those arguing to take a side as examplary of the other side, while characterizing anyone on the client's side who argues to just get along as merely an exception to your client side's sound arguments. </v>
      </c>
      <c r="AK759" s="409" t="s">
        <v>1943</v>
      </c>
      <c r="AL759" s="2" t="str">
        <f>AO1298</f>
        <v>take a side</v>
      </c>
      <c r="AM759" s="409" t="s">
        <v>1685</v>
      </c>
      <c r="AN759" s="2" t="str">
        <f>AN1298</f>
        <v>just get along</v>
      </c>
      <c r="AO759" s="465" t="s">
        <v>1683</v>
      </c>
    </row>
    <row r="760" spans="1:41" ht="19.95" customHeight="1">
      <c r="A760" s="199"/>
      <c r="B760" s="601"/>
      <c r="C760" s="601"/>
      <c r="D760" s="601"/>
      <c r="E760" s="601"/>
      <c r="F760" s="601"/>
      <c r="G760" s="601"/>
      <c r="H760" s="601"/>
      <c r="I760" s="601"/>
      <c r="J760" s="601"/>
      <c r="K760" s="601"/>
      <c r="L760" s="601"/>
      <c r="M760" s="601"/>
      <c r="N760" s="200"/>
      <c r="O760" s="199"/>
      <c r="P760" s="24"/>
      <c r="Q760" s="24"/>
      <c r="R760" s="398"/>
      <c r="S760" s="398"/>
      <c r="T760" s="398"/>
      <c r="U760" s="398"/>
      <c r="V760" s="398"/>
      <c r="W760" s="398"/>
      <c r="X760" s="398"/>
      <c r="Y760" s="398"/>
      <c r="Z760" s="398"/>
      <c r="AA760" s="398"/>
      <c r="AB760" s="200"/>
    </row>
    <row r="761" spans="1:41" ht="19.95" customHeight="1">
      <c r="A761" s="199"/>
      <c r="B761" s="601"/>
      <c r="C761" s="601"/>
      <c r="D761" s="601"/>
      <c r="E761" s="601"/>
      <c r="F761" s="601"/>
      <c r="G761" s="601"/>
      <c r="H761" s="601"/>
      <c r="I761" s="601"/>
      <c r="J761" s="601"/>
      <c r="K761" s="601"/>
      <c r="L761" s="601"/>
      <c r="M761" s="601"/>
      <c r="N761" s="200"/>
      <c r="O761" s="199"/>
      <c r="P761" s="24"/>
      <c r="Q761" s="24"/>
      <c r="R761" s="398"/>
      <c r="S761" s="398"/>
      <c r="T761" s="398"/>
      <c r="U761" s="398"/>
      <c r="V761" s="398"/>
      <c r="W761" s="398"/>
      <c r="X761" s="398"/>
      <c r="Y761" s="398"/>
      <c r="Z761" s="398"/>
      <c r="AA761" s="398"/>
      <c r="AB761" s="200"/>
    </row>
    <row r="762" spans="1:41" ht="19.95" customHeight="1">
      <c r="A762" s="199"/>
      <c r="B762" s="601"/>
      <c r="C762" s="601"/>
      <c r="D762" s="601"/>
      <c r="E762" s="601"/>
      <c r="F762" s="601"/>
      <c r="G762" s="601"/>
      <c r="H762" s="601"/>
      <c r="I762" s="601"/>
      <c r="J762" s="601"/>
      <c r="K762" s="601"/>
      <c r="L762" s="601"/>
      <c r="M762" s="601"/>
      <c r="N762" s="200"/>
      <c r="O762" s="199"/>
      <c r="P762" s="24"/>
      <c r="Q762" s="24"/>
      <c r="R762" s="398"/>
      <c r="S762" s="398"/>
      <c r="T762" s="398"/>
      <c r="U762" s="398"/>
      <c r="V762" s="398"/>
      <c r="W762" s="398"/>
      <c r="X762" s="398"/>
      <c r="Y762" s="398"/>
      <c r="Z762" s="398"/>
      <c r="AA762" s="398"/>
      <c r="AB762" s="200"/>
      <c r="AI762" s="2" t="s">
        <v>2749</v>
      </c>
    </row>
    <row r="763" spans="1:41" ht="19.95" customHeight="1">
      <c r="A763" s="199"/>
      <c r="B763" s="601"/>
      <c r="C763" s="601"/>
      <c r="D763" s="601"/>
      <c r="E763" s="601"/>
      <c r="F763" s="601"/>
      <c r="G763" s="601"/>
      <c r="H763" s="601"/>
      <c r="I763" s="601"/>
      <c r="J763" s="601"/>
      <c r="K763" s="601"/>
      <c r="L763" s="601"/>
      <c r="M763" s="601"/>
      <c r="N763" s="200"/>
      <c r="O763" s="199"/>
      <c r="P763" s="24"/>
      <c r="Q763" s="24"/>
      <c r="R763" s="398"/>
      <c r="S763" s="398"/>
      <c r="T763" s="398"/>
      <c r="U763" s="398"/>
      <c r="V763" s="398"/>
      <c r="W763" s="398"/>
      <c r="X763" s="398"/>
      <c r="Y763" s="398"/>
      <c r="Z763" s="398"/>
      <c r="AA763" s="398"/>
      <c r="AB763" s="200"/>
      <c r="AI763" s="2" t="s">
        <v>2737</v>
      </c>
    </row>
    <row r="764" spans="1:41" ht="19.95" customHeight="1">
      <c r="A764" s="199"/>
      <c r="B764" s="601"/>
      <c r="C764" s="601"/>
      <c r="D764" s="601"/>
      <c r="E764" s="601"/>
      <c r="F764" s="601"/>
      <c r="G764" s="601"/>
      <c r="H764" s="601"/>
      <c r="I764" s="601"/>
      <c r="J764" s="601"/>
      <c r="K764" s="601"/>
      <c r="L764" s="601"/>
      <c r="M764" s="601"/>
      <c r="N764" s="200"/>
      <c r="O764" s="199"/>
      <c r="P764" s="24"/>
      <c r="Q764" s="24"/>
      <c r="R764" s="398"/>
      <c r="S764" s="398"/>
      <c r="T764" s="398"/>
      <c r="U764" s="398"/>
      <c r="V764" s="398"/>
      <c r="W764" s="398"/>
      <c r="X764" s="398"/>
      <c r="Y764" s="398"/>
      <c r="Z764" s="398"/>
      <c r="AA764" s="398"/>
      <c r="AB764" s="200"/>
      <c r="AI764" s="2" t="s">
        <v>2738</v>
      </c>
    </row>
    <row r="765" spans="1:41" ht="19.95" customHeight="1">
      <c r="A765" s="199"/>
      <c r="B765" s="601"/>
      <c r="C765" s="601"/>
      <c r="D765" s="601"/>
      <c r="E765" s="601"/>
      <c r="F765" s="601"/>
      <c r="G765" s="601"/>
      <c r="H765" s="601"/>
      <c r="I765" s="601"/>
      <c r="J765" s="601"/>
      <c r="K765" s="601"/>
      <c r="L765" s="601"/>
      <c r="M765" s="601"/>
      <c r="N765" s="200"/>
      <c r="O765" s="199"/>
      <c r="P765" s="24"/>
      <c r="Q765" s="24"/>
      <c r="R765" s="398"/>
      <c r="S765" s="398"/>
      <c r="T765" s="398"/>
      <c r="U765" s="398"/>
      <c r="V765" s="398"/>
      <c r="W765" s="398"/>
      <c r="X765" s="398"/>
      <c r="Y765" s="398"/>
      <c r="Z765" s="398"/>
      <c r="AA765" s="398"/>
      <c r="AB765" s="200"/>
      <c r="AI765" s="2" t="s">
        <v>2746</v>
      </c>
    </row>
    <row r="766" spans="1:41" ht="19.95" customHeight="1">
      <c r="A766" s="199"/>
      <c r="B766" s="601"/>
      <c r="C766" s="601"/>
      <c r="D766" s="601"/>
      <c r="E766" s="601"/>
      <c r="F766" s="601"/>
      <c r="G766" s="601"/>
      <c r="H766" s="601"/>
      <c r="I766" s="601"/>
      <c r="J766" s="601"/>
      <c r="K766" s="601"/>
      <c r="L766" s="601"/>
      <c r="M766" s="601"/>
      <c r="N766" s="200"/>
      <c r="O766" s="199"/>
      <c r="P766" s="24"/>
      <c r="Q766" s="24"/>
      <c r="R766" s="398"/>
      <c r="S766" s="398"/>
      <c r="T766" s="398"/>
      <c r="U766" s="398"/>
      <c r="V766" s="398"/>
      <c r="W766" s="398"/>
      <c r="X766" s="398"/>
      <c r="Y766" s="398"/>
      <c r="Z766" s="398"/>
      <c r="AA766" s="398"/>
      <c r="AB766" s="200"/>
      <c r="AI766" s="2" t="s">
        <v>2748</v>
      </c>
    </row>
    <row r="767" spans="1:41" ht="19.95" customHeight="1">
      <c r="A767" s="199"/>
      <c r="B767" s="601"/>
      <c r="C767" s="601"/>
      <c r="D767" s="601"/>
      <c r="E767" s="601"/>
      <c r="F767" s="601"/>
      <c r="G767" s="601"/>
      <c r="H767" s="601"/>
      <c r="I767" s="601"/>
      <c r="J767" s="601"/>
      <c r="K767" s="601"/>
      <c r="L767" s="601"/>
      <c r="M767" s="601"/>
      <c r="N767" s="200"/>
      <c r="O767" s="199"/>
      <c r="P767" s="24"/>
      <c r="Q767" s="24"/>
      <c r="R767" s="398"/>
      <c r="S767" s="398"/>
      <c r="T767" s="398"/>
      <c r="U767" s="398"/>
      <c r="V767" s="398"/>
      <c r="W767" s="398"/>
      <c r="X767" s="398"/>
      <c r="Y767" s="398"/>
      <c r="Z767" s="398"/>
      <c r="AA767" s="398"/>
      <c r="AB767" s="200"/>
      <c r="AI767" s="2" t="s">
        <v>2739</v>
      </c>
    </row>
    <row r="768" spans="1:41" ht="19.95" customHeight="1">
      <c r="A768" s="199"/>
      <c r="B768" s="601"/>
      <c r="C768" s="601"/>
      <c r="D768" s="601"/>
      <c r="E768" s="601"/>
      <c r="F768" s="601"/>
      <c r="G768" s="601"/>
      <c r="H768" s="601"/>
      <c r="I768" s="601"/>
      <c r="J768" s="601"/>
      <c r="K768" s="601"/>
      <c r="L768" s="601"/>
      <c r="M768" s="601"/>
      <c r="N768" s="200"/>
      <c r="O768" s="199"/>
      <c r="P768" s="24"/>
      <c r="Q768" s="24"/>
      <c r="R768" s="398"/>
      <c r="S768" s="398"/>
      <c r="T768" s="398"/>
      <c r="U768" s="398"/>
      <c r="V768" s="398"/>
      <c r="W768" s="398"/>
      <c r="X768" s="398"/>
      <c r="Y768" s="398"/>
      <c r="Z768" s="398"/>
      <c r="AA768" s="398"/>
      <c r="AB768" s="200"/>
      <c r="AI768" s="2" t="s">
        <v>2740</v>
      </c>
    </row>
    <row r="769" spans="1:35" ht="19.95" customHeight="1">
      <c r="A769" s="199"/>
      <c r="B769" s="601"/>
      <c r="C769" s="601"/>
      <c r="D769" s="601"/>
      <c r="E769" s="601"/>
      <c r="F769" s="601"/>
      <c r="G769" s="601"/>
      <c r="H769" s="601"/>
      <c r="I769" s="601"/>
      <c r="J769" s="601"/>
      <c r="K769" s="601"/>
      <c r="L769" s="601"/>
      <c r="M769" s="601"/>
      <c r="N769" s="200"/>
      <c r="O769" s="199"/>
      <c r="P769" s="24"/>
      <c r="Q769" s="24"/>
      <c r="R769" s="398"/>
      <c r="S769" s="398"/>
      <c r="T769" s="398"/>
      <c r="U769" s="398"/>
      <c r="V769" s="398"/>
      <c r="W769" s="398"/>
      <c r="X769" s="398"/>
      <c r="Y769" s="398"/>
      <c r="Z769" s="398"/>
      <c r="AA769" s="398"/>
      <c r="AB769" s="200"/>
      <c r="AI769" s="2" t="s">
        <v>2745</v>
      </c>
    </row>
    <row r="770" spans="1:35" ht="19.95" customHeight="1">
      <c r="A770" s="199"/>
      <c r="B770" s="601"/>
      <c r="C770" s="601"/>
      <c r="D770" s="601"/>
      <c r="E770" s="601"/>
      <c r="F770" s="601"/>
      <c r="G770" s="601"/>
      <c r="H770" s="601"/>
      <c r="I770" s="601"/>
      <c r="J770" s="601"/>
      <c r="K770" s="601"/>
      <c r="L770" s="601"/>
      <c r="M770" s="601"/>
      <c r="N770" s="200"/>
      <c r="O770" s="199"/>
      <c r="P770" s="24"/>
      <c r="Q770" s="24"/>
      <c r="R770" s="398"/>
      <c r="S770" s="398"/>
      <c r="T770" s="398"/>
      <c r="U770" s="398"/>
      <c r="V770" s="398"/>
      <c r="W770" s="398"/>
      <c r="X770" s="398"/>
      <c r="Y770" s="398"/>
      <c r="Z770" s="398"/>
      <c r="AA770" s="398"/>
      <c r="AB770" s="200"/>
      <c r="AI770" s="2" t="s">
        <v>2747</v>
      </c>
    </row>
    <row r="771" spans="1:35" ht="19.95" customHeight="1">
      <c r="A771" s="199"/>
      <c r="B771" s="601"/>
      <c r="C771" s="601"/>
      <c r="D771" s="601"/>
      <c r="E771" s="601"/>
      <c r="F771" s="601"/>
      <c r="G771" s="601"/>
      <c r="H771" s="601"/>
      <c r="I771" s="601"/>
      <c r="J771" s="601"/>
      <c r="K771" s="601"/>
      <c r="L771" s="601"/>
      <c r="M771" s="601"/>
      <c r="N771" s="200"/>
      <c r="O771" s="199"/>
      <c r="P771" s="24"/>
      <c r="Q771" s="24"/>
      <c r="R771" s="398"/>
      <c r="S771" s="398"/>
      <c r="T771" s="398"/>
      <c r="U771" s="398"/>
      <c r="V771" s="398"/>
      <c r="W771" s="398"/>
      <c r="X771" s="398"/>
      <c r="Y771" s="398"/>
      <c r="Z771" s="398"/>
      <c r="AA771" s="398"/>
      <c r="AB771" s="200"/>
      <c r="AI771" s="2" t="s">
        <v>2741</v>
      </c>
    </row>
    <row r="772" spans="1:35" ht="19.95" customHeight="1">
      <c r="A772" s="199"/>
      <c r="B772" s="601"/>
      <c r="C772" s="601"/>
      <c r="D772" s="601"/>
      <c r="E772" s="601"/>
      <c r="F772" s="601"/>
      <c r="G772" s="601"/>
      <c r="H772" s="601"/>
      <c r="I772" s="601"/>
      <c r="J772" s="601"/>
      <c r="K772" s="601"/>
      <c r="L772" s="601"/>
      <c r="M772" s="601"/>
      <c r="N772" s="200"/>
      <c r="O772" s="199"/>
      <c r="P772" s="24"/>
      <c r="Q772" s="24"/>
      <c r="R772" s="398"/>
      <c r="S772" s="398"/>
      <c r="T772" s="398"/>
      <c r="U772" s="398"/>
      <c r="V772" s="398"/>
      <c r="W772" s="398"/>
      <c r="X772" s="398"/>
      <c r="Y772" s="398"/>
      <c r="Z772" s="398"/>
      <c r="AA772" s="398"/>
      <c r="AB772" s="200"/>
      <c r="AI772" s="2" t="s">
        <v>2742</v>
      </c>
    </row>
    <row r="773" spans="1:35" ht="19.95" customHeight="1">
      <c r="A773" s="199"/>
      <c r="B773" s="601"/>
      <c r="C773" s="601"/>
      <c r="D773" s="601"/>
      <c r="E773" s="601"/>
      <c r="F773" s="601"/>
      <c r="G773" s="601"/>
      <c r="H773" s="601"/>
      <c r="I773" s="601"/>
      <c r="J773" s="601"/>
      <c r="K773" s="601"/>
      <c r="L773" s="601"/>
      <c r="M773" s="601"/>
      <c r="N773" s="200"/>
      <c r="O773" s="199"/>
      <c r="P773" s="24"/>
      <c r="Q773" s="24"/>
      <c r="R773" s="398"/>
      <c r="S773" s="398"/>
      <c r="T773" s="398"/>
      <c r="U773" s="398"/>
      <c r="V773" s="398"/>
      <c r="W773" s="398"/>
      <c r="X773" s="398"/>
      <c r="Y773" s="398"/>
      <c r="Z773" s="398"/>
      <c r="AA773" s="398"/>
      <c r="AB773" s="200"/>
      <c r="AI773" s="2" t="s">
        <v>2743</v>
      </c>
    </row>
    <row r="774" spans="1:35" ht="19.95" customHeight="1">
      <c r="A774" s="199"/>
      <c r="B774" s="601"/>
      <c r="C774" s="601"/>
      <c r="D774" s="601"/>
      <c r="E774" s="601"/>
      <c r="F774" s="601"/>
      <c r="G774" s="601"/>
      <c r="H774" s="601"/>
      <c r="I774" s="601"/>
      <c r="J774" s="601"/>
      <c r="K774" s="601"/>
      <c r="L774" s="601"/>
      <c r="M774" s="601"/>
      <c r="N774" s="200"/>
      <c r="O774" s="199"/>
      <c r="P774" s="24"/>
      <c r="Q774" s="24"/>
      <c r="R774" s="398"/>
      <c r="S774" s="398"/>
      <c r="T774" s="398"/>
      <c r="U774" s="398"/>
      <c r="V774" s="398"/>
      <c r="W774" s="398"/>
      <c r="X774" s="398"/>
      <c r="Y774" s="398"/>
      <c r="Z774" s="398"/>
      <c r="AA774" s="398"/>
      <c r="AB774" s="200"/>
      <c r="AI774" s="2" t="s">
        <v>2744</v>
      </c>
    </row>
    <row r="775" spans="1:35" ht="19.95" customHeight="1">
      <c r="A775" s="199"/>
      <c r="B775" s="601"/>
      <c r="C775" s="601"/>
      <c r="D775" s="601"/>
      <c r="E775" s="601"/>
      <c r="F775" s="601"/>
      <c r="G775" s="601"/>
      <c r="H775" s="601"/>
      <c r="I775" s="601"/>
      <c r="J775" s="601"/>
      <c r="K775" s="601"/>
      <c r="L775" s="601"/>
      <c r="M775" s="601"/>
      <c r="N775" s="200"/>
      <c r="O775" s="199"/>
      <c r="P775" s="24"/>
      <c r="Q775" s="24"/>
      <c r="R775" s="398"/>
      <c r="S775" s="398"/>
      <c r="T775" s="398"/>
      <c r="U775" s="398"/>
      <c r="V775" s="398"/>
      <c r="W775" s="398"/>
      <c r="X775" s="398"/>
      <c r="Y775" s="398"/>
      <c r="Z775" s="398"/>
      <c r="AA775" s="398"/>
      <c r="AB775" s="200"/>
      <c r="AI775" s="2" t="s">
        <v>2736</v>
      </c>
    </row>
    <row r="776" spans="1:35" ht="19.95" customHeight="1">
      <c r="A776" s="199"/>
      <c r="B776" s="601"/>
      <c r="C776" s="601"/>
      <c r="D776" s="601"/>
      <c r="E776" s="601"/>
      <c r="F776" s="601"/>
      <c r="G776" s="601"/>
      <c r="H776" s="601"/>
      <c r="I776" s="601"/>
      <c r="J776" s="601"/>
      <c r="K776" s="601"/>
      <c r="L776" s="601"/>
      <c r="M776" s="601"/>
      <c r="N776" s="200"/>
      <c r="O776" s="199"/>
      <c r="P776" s="24"/>
      <c r="Q776" s="24"/>
      <c r="R776" s="398"/>
      <c r="S776" s="398"/>
      <c r="T776" s="398"/>
      <c r="U776" s="398"/>
      <c r="V776" s="398"/>
      <c r="W776" s="398"/>
      <c r="X776" s="398"/>
      <c r="Y776" s="398"/>
      <c r="Z776" s="398"/>
      <c r="AA776" s="398"/>
      <c r="AB776" s="200"/>
    </row>
    <row r="777" spans="1:35" ht="19.95" customHeight="1">
      <c r="A777" s="199"/>
      <c r="B777" s="601"/>
      <c r="C777" s="601"/>
      <c r="D777" s="601"/>
      <c r="E777" s="601"/>
      <c r="F777" s="601"/>
      <c r="G777" s="601"/>
      <c r="H777" s="601"/>
      <c r="I777" s="601"/>
      <c r="J777" s="601"/>
      <c r="K777" s="601"/>
      <c r="L777" s="601"/>
      <c r="M777" s="601"/>
      <c r="N777" s="200"/>
      <c r="O777" s="199"/>
      <c r="P777" s="24"/>
      <c r="Q777" s="24"/>
      <c r="R777" s="398"/>
      <c r="S777" s="398"/>
      <c r="T777" s="398"/>
      <c r="U777" s="398"/>
      <c r="V777" s="398"/>
      <c r="W777" s="398"/>
      <c r="X777" s="398"/>
      <c r="Y777" s="398"/>
      <c r="Z777" s="398"/>
      <c r="AA777" s="398"/>
      <c r="AB777" s="200"/>
    </row>
    <row r="778" spans="1:35" ht="19.95" customHeight="1">
      <c r="A778" s="199"/>
      <c r="B778" s="601"/>
      <c r="C778" s="601"/>
      <c r="D778" s="601"/>
      <c r="E778" s="601"/>
      <c r="F778" s="601"/>
      <c r="G778" s="601"/>
      <c r="H778" s="601"/>
      <c r="I778" s="601"/>
      <c r="J778" s="601"/>
      <c r="K778" s="601"/>
      <c r="L778" s="601"/>
      <c r="M778" s="601"/>
      <c r="N778" s="200"/>
      <c r="O778" s="199"/>
      <c r="P778" s="24"/>
      <c r="Q778" s="24"/>
      <c r="R778" s="398"/>
      <c r="S778" s="398"/>
      <c r="T778" s="398"/>
      <c r="U778" s="398"/>
      <c r="V778" s="398"/>
      <c r="W778" s="398"/>
      <c r="X778" s="398"/>
      <c r="Y778" s="398"/>
      <c r="Z778" s="398"/>
      <c r="AA778" s="398"/>
      <c r="AB778" s="200"/>
    </row>
    <row r="779" spans="1:35" ht="19.95" customHeight="1">
      <c r="A779" s="199"/>
      <c r="B779" s="601"/>
      <c r="C779" s="601"/>
      <c r="D779" s="601"/>
      <c r="E779" s="601"/>
      <c r="F779" s="601"/>
      <c r="G779" s="601"/>
      <c r="H779" s="601"/>
      <c r="I779" s="601"/>
      <c r="J779" s="601"/>
      <c r="K779" s="601"/>
      <c r="L779" s="601"/>
      <c r="M779" s="601"/>
      <c r="N779" s="200"/>
      <c r="O779" s="199"/>
      <c r="P779" s="24"/>
      <c r="Q779" s="24"/>
      <c r="R779" s="398"/>
      <c r="S779" s="398"/>
      <c r="T779" s="398"/>
      <c r="U779" s="398"/>
      <c r="V779" s="398"/>
      <c r="W779" s="398"/>
      <c r="X779" s="398"/>
      <c r="Y779" s="398"/>
      <c r="Z779" s="398"/>
      <c r="AA779" s="398"/>
      <c r="AB779" s="200"/>
    </row>
    <row r="780" spans="1:35" ht="19.95" customHeight="1" thickBot="1">
      <c r="A780" s="199"/>
      <c r="B780" s="601"/>
      <c r="C780" s="601"/>
      <c r="D780" s="601"/>
      <c r="E780" s="601"/>
      <c r="F780" s="601"/>
      <c r="G780" s="601"/>
      <c r="H780" s="601"/>
      <c r="I780" s="601"/>
      <c r="J780" s="601"/>
      <c r="K780" s="601"/>
      <c r="L780" s="601"/>
      <c r="M780" s="601"/>
      <c r="N780" s="200"/>
      <c r="O780" s="199"/>
      <c r="P780" s="24"/>
      <c r="Q780" s="24"/>
      <c r="R780" s="398"/>
      <c r="S780" s="398"/>
      <c r="T780" s="398"/>
      <c r="U780" s="398"/>
      <c r="V780" s="398"/>
      <c r="W780" s="398"/>
      <c r="X780" s="398"/>
      <c r="Y780" s="398"/>
      <c r="Z780" s="398"/>
      <c r="AA780" s="398"/>
      <c r="AB780" s="200"/>
    </row>
    <row r="781" spans="1:35" ht="19.95" customHeight="1" thickBot="1">
      <c r="A781" s="199"/>
      <c r="B781" s="1295"/>
      <c r="C781" s="1296"/>
      <c r="D781" s="1296"/>
      <c r="E781" s="1296"/>
      <c r="F781" s="1296"/>
      <c r="G781" s="1296"/>
      <c r="H781" s="1296"/>
      <c r="I781" s="1297"/>
      <c r="J781" s="1354" t="str">
        <f>IF(B781="","","How can we help?")</f>
        <v/>
      </c>
      <c r="K781" s="1355"/>
      <c r="L781" s="1355"/>
      <c r="M781" s="1356"/>
      <c r="N781" s="200"/>
      <c r="O781" s="199"/>
      <c r="P781" s="24"/>
      <c r="Q781" s="24"/>
      <c r="R781" s="398"/>
      <c r="S781" s="398"/>
      <c r="T781" s="398"/>
      <c r="U781" s="398"/>
      <c r="V781" s="398"/>
      <c r="W781" s="398"/>
      <c r="X781" s="398"/>
      <c r="Y781" s="398"/>
      <c r="Z781" s="398"/>
      <c r="AA781" s="398"/>
      <c r="AB781" s="200"/>
    </row>
    <row r="782" spans="1:35" ht="10.050000000000001" customHeight="1">
      <c r="A782" s="199"/>
      <c r="B782" s="24"/>
      <c r="C782" s="24"/>
      <c r="D782" s="24"/>
      <c r="E782" s="24"/>
      <c r="F782" s="24"/>
      <c r="G782" s="24"/>
      <c r="H782" s="24"/>
      <c r="I782" s="24"/>
      <c r="J782" s="24"/>
      <c r="K782" s="24"/>
      <c r="L782" s="24"/>
      <c r="M782" s="24"/>
      <c r="N782" s="200"/>
      <c r="O782" s="199"/>
      <c r="P782" s="24"/>
      <c r="Q782" s="24"/>
      <c r="R782" s="398"/>
      <c r="S782" s="398"/>
      <c r="T782" s="398"/>
      <c r="U782" s="398"/>
      <c r="V782" s="398"/>
      <c r="W782" s="398"/>
      <c r="X782" s="398"/>
      <c r="Y782" s="398"/>
      <c r="Z782" s="398"/>
      <c r="AA782" s="398"/>
      <c r="AB782" s="200"/>
    </row>
    <row r="783" spans="1:35" ht="30" customHeight="1">
      <c r="A783" s="210" t="s">
        <v>1148</v>
      </c>
      <c r="B783" s="399" t="s">
        <v>3151</v>
      </c>
      <c r="C783" s="582"/>
      <c r="D783" s="582"/>
      <c r="E783" s="583"/>
      <c r="F783" s="584"/>
      <c r="G783" s="582"/>
      <c r="H783" s="373"/>
      <c r="I783" s="373"/>
      <c r="J783" s="373"/>
      <c r="K783" s="373"/>
      <c r="L783" s="373"/>
      <c r="M783" s="373"/>
      <c r="N783" s="211" t="s">
        <v>1149</v>
      </c>
      <c r="O783" s="372"/>
      <c r="P783" s="374"/>
      <c r="Q783" s="373"/>
      <c r="R783" s="373"/>
      <c r="S783" s="373"/>
      <c r="T783" s="373"/>
      <c r="U783" s="373"/>
      <c r="V783" s="373"/>
      <c r="W783" s="373"/>
      <c r="X783" s="373"/>
      <c r="Y783" s="373"/>
      <c r="Z783" s="373"/>
      <c r="AA783" s="373"/>
      <c r="AB783" s="211" t="s">
        <v>1149</v>
      </c>
    </row>
    <row r="784" spans="1:35" ht="10.050000000000001" customHeight="1">
      <c r="A784" s="199"/>
      <c r="B784" s="24"/>
      <c r="C784" s="24"/>
      <c r="D784" s="24"/>
      <c r="E784" s="24"/>
      <c r="F784" s="24"/>
      <c r="G784" s="24"/>
      <c r="H784" s="24"/>
      <c r="I784" s="24"/>
      <c r="J784" s="24"/>
      <c r="K784" s="24"/>
      <c r="L784" s="24"/>
      <c r="M784" s="24"/>
      <c r="N784" s="200"/>
      <c r="O784" s="199"/>
      <c r="P784" s="24"/>
      <c r="Q784" s="24"/>
      <c r="R784" s="398"/>
      <c r="S784" s="398"/>
      <c r="T784" s="398"/>
      <c r="U784" s="398"/>
      <c r="V784" s="398"/>
      <c r="W784" s="398"/>
      <c r="X784" s="398"/>
      <c r="Y784" s="398"/>
      <c r="Z784" s="398"/>
      <c r="AA784" s="398"/>
      <c r="AB784" s="200"/>
    </row>
    <row r="785" spans="1:44" ht="19.95" customHeight="1">
      <c r="A785" s="199"/>
      <c r="B785" s="719" t="s">
        <v>2815</v>
      </c>
      <c r="C785" s="24"/>
      <c r="D785" s="24"/>
      <c r="E785" s="24"/>
      <c r="F785" s="24"/>
      <c r="G785" s="24"/>
      <c r="H785" s="24"/>
      <c r="I785" s="24"/>
      <c r="J785" s="24"/>
      <c r="K785" s="24"/>
      <c r="L785" s="24"/>
      <c r="M785" s="24"/>
      <c r="N785" s="200"/>
      <c r="O785" s="199"/>
      <c r="P785" s="24"/>
      <c r="Q785" s="24"/>
      <c r="R785" s="398"/>
      <c r="S785" s="398"/>
      <c r="T785" s="398"/>
      <c r="U785" s="398"/>
      <c r="V785" s="398"/>
      <c r="W785" s="398"/>
      <c r="X785" s="398"/>
      <c r="Y785" s="398"/>
      <c r="Z785" s="398"/>
      <c r="AA785" s="398"/>
      <c r="AB785" s="200"/>
      <c r="AI785" s="459">
        <f>IF(OR($I$1270=0,$B$1300=""),AK785,AI787)</f>
        <v>0</v>
      </c>
      <c r="AK785" s="465"/>
    </row>
    <row r="786" spans="1:44" ht="10.050000000000001" customHeight="1">
      <c r="A786" s="199"/>
      <c r="B786" s="24"/>
      <c r="C786" s="24"/>
      <c r="D786" s="24"/>
      <c r="E786" s="24"/>
      <c r="F786" s="24"/>
      <c r="G786" s="24"/>
      <c r="H786" s="24"/>
      <c r="I786" s="24"/>
      <c r="J786" s="24"/>
      <c r="K786" s="24"/>
      <c r="L786" s="24"/>
      <c r="M786" s="24"/>
      <c r="N786" s="200"/>
      <c r="O786" s="199"/>
      <c r="P786" s="24"/>
      <c r="Q786" s="24"/>
      <c r="R786" s="398"/>
      <c r="S786" s="398"/>
      <c r="T786" s="398"/>
      <c r="U786" s="398"/>
      <c r="V786" s="398"/>
      <c r="W786" s="398"/>
      <c r="X786" s="398"/>
      <c r="Y786" s="398"/>
      <c r="Z786" s="398"/>
      <c r="AA786" s="398"/>
      <c r="AB786" s="200"/>
    </row>
    <row r="787" spans="1:44" ht="19.95" customHeight="1">
      <c r="A787" s="199"/>
      <c r="B787" s="603"/>
      <c r="C787" s="603"/>
      <c r="D787" s="603"/>
      <c r="E787" s="603"/>
      <c r="F787" s="603"/>
      <c r="G787" s="603"/>
      <c r="H787" s="603"/>
      <c r="I787" s="603"/>
      <c r="J787" s="603"/>
      <c r="K787" s="603"/>
      <c r="L787" s="603"/>
      <c r="M787" s="603"/>
      <c r="N787" s="200"/>
      <c r="O787" s="199"/>
      <c r="P787" s="24"/>
      <c r="Q787" s="24"/>
      <c r="R787" s="398"/>
      <c r="S787" s="398"/>
      <c r="T787" s="398"/>
      <c r="U787" s="398"/>
      <c r="V787" s="398"/>
      <c r="W787" s="398"/>
      <c r="X787" s="398"/>
      <c r="Y787" s="398"/>
      <c r="Z787" s="398"/>
      <c r="AA787" s="398"/>
      <c r="AB787" s="200"/>
      <c r="AI787" s="459" t="str">
        <f>CONCATENATE(AK787,AL787,AM787,AN787,AO787,AP787,AQ787,AN788,AO788,AP788,AQ788)</f>
        <v/>
      </c>
      <c r="AK787" s="465"/>
    </row>
    <row r="788" spans="1:44" ht="19.95" customHeight="1">
      <c r="A788" s="199"/>
      <c r="B788" s="603"/>
      <c r="C788" s="603"/>
      <c r="D788" s="603"/>
      <c r="E788" s="603"/>
      <c r="F788" s="603"/>
      <c r="G788" s="603"/>
      <c r="H788" s="603"/>
      <c r="I788" s="603"/>
      <c r="J788" s="603"/>
      <c r="K788" s="603"/>
      <c r="L788" s="603"/>
      <c r="M788" s="603"/>
      <c r="N788" s="200"/>
      <c r="O788" s="199"/>
      <c r="P788" s="24"/>
      <c r="Q788" s="24"/>
      <c r="R788" s="398"/>
      <c r="S788" s="398"/>
      <c r="T788" s="398"/>
      <c r="U788" s="398"/>
      <c r="V788" s="398"/>
      <c r="W788" s="398"/>
      <c r="X788" s="398"/>
      <c r="Y788" s="398"/>
      <c r="Z788" s="398"/>
      <c r="AA788" s="398"/>
      <c r="AB788" s="200"/>
    </row>
    <row r="789" spans="1:44" ht="19.95" customHeight="1">
      <c r="A789" s="199"/>
      <c r="B789" s="603"/>
      <c r="C789" s="603"/>
      <c r="D789" s="603"/>
      <c r="E789" s="603"/>
      <c r="F789" s="603"/>
      <c r="G789" s="603"/>
      <c r="H789" s="603"/>
      <c r="I789" s="603"/>
      <c r="J789" s="603"/>
      <c r="K789" s="603"/>
      <c r="L789" s="603"/>
      <c r="M789" s="603"/>
      <c r="N789" s="200"/>
      <c r="O789" s="199"/>
      <c r="P789" s="24"/>
      <c r="Q789" s="24"/>
      <c r="R789" s="398"/>
      <c r="S789" s="398"/>
      <c r="T789" s="398"/>
      <c r="U789" s="398"/>
      <c r="V789" s="398"/>
      <c r="W789" s="398"/>
      <c r="X789" s="398"/>
      <c r="Y789" s="398"/>
      <c r="Z789" s="398"/>
      <c r="AA789" s="398"/>
      <c r="AB789" s="200"/>
      <c r="AN789" s="733" t="s">
        <v>2844</v>
      </c>
      <c r="AP789" s="733" t="s">
        <v>2845</v>
      </c>
      <c r="AR789" s="733" t="s">
        <v>2846</v>
      </c>
    </row>
    <row r="790" spans="1:44" ht="19.95" customHeight="1">
      <c r="A790" s="199"/>
      <c r="B790" s="603"/>
      <c r="C790" s="603"/>
      <c r="D790" s="603"/>
      <c r="E790" s="603"/>
      <c r="F790" s="603"/>
      <c r="G790" s="603"/>
      <c r="H790" s="603"/>
      <c r="I790" s="603"/>
      <c r="J790" s="603"/>
      <c r="K790" s="603"/>
      <c r="L790" s="603"/>
      <c r="M790" s="603"/>
      <c r="N790" s="200"/>
      <c r="O790" s="199"/>
      <c r="P790" s="24"/>
      <c r="Q790" s="24"/>
      <c r="R790" s="398"/>
      <c r="S790" s="398"/>
      <c r="T790" s="398"/>
      <c r="U790" s="398"/>
      <c r="V790" s="398"/>
      <c r="W790" s="398"/>
      <c r="X790" s="398"/>
      <c r="Y790" s="398"/>
      <c r="Z790" s="398"/>
      <c r="AA790" s="398"/>
      <c r="AB790" s="200"/>
      <c r="AI790" s="459" t="s">
        <v>2824</v>
      </c>
      <c r="AK790" s="465" t="str">
        <f>IF(C$814=AK$798,AN790,IF(C$814=AK$799,AP790,IF(C$814=AK$800,AR790,"")))</f>
        <v/>
      </c>
      <c r="AN790" s="2" t="s">
        <v>2830</v>
      </c>
      <c r="AP790" s="2" t="s">
        <v>2837</v>
      </c>
      <c r="AR790" s="2" t="s">
        <v>2847</v>
      </c>
    </row>
    <row r="791" spans="1:44" ht="19.95" customHeight="1">
      <c r="A791" s="199"/>
      <c r="B791" s="603"/>
      <c r="C791" s="603"/>
      <c r="D791" s="603"/>
      <c r="E791" s="603"/>
      <c r="F791" s="603"/>
      <c r="G791" s="603"/>
      <c r="H791" s="603"/>
      <c r="I791" s="603"/>
      <c r="J791" s="603"/>
      <c r="K791" s="603"/>
      <c r="L791" s="603"/>
      <c r="M791" s="603"/>
      <c r="N791" s="200"/>
      <c r="O791" s="199"/>
      <c r="P791" s="24"/>
      <c r="Q791" s="24"/>
      <c r="R791" s="398"/>
      <c r="S791" s="398"/>
      <c r="T791" s="398"/>
      <c r="U791" s="398"/>
      <c r="V791" s="398"/>
      <c r="W791" s="398"/>
      <c r="X791" s="398"/>
      <c r="Y791" s="398"/>
      <c r="Z791" s="398"/>
      <c r="AA791" s="398"/>
      <c r="AB791" s="200"/>
      <c r="AI791" s="459" t="s">
        <v>2825</v>
      </c>
      <c r="AK791" s="465" t="str">
        <f t="shared" ref="AK791:AK796" si="4">IF(C$814=AK$798,AN791,IF(C$814=AK$799,AP791,IF(C$814=AK$800,AR791,"")))</f>
        <v/>
      </c>
      <c r="AN791" s="2" t="s">
        <v>2831</v>
      </c>
      <c r="AP791" s="2" t="s">
        <v>2838</v>
      </c>
      <c r="AR791" s="2" t="s">
        <v>2848</v>
      </c>
    </row>
    <row r="792" spans="1:44" ht="19.95" customHeight="1">
      <c r="A792" s="199"/>
      <c r="B792" s="603"/>
      <c r="C792" s="603"/>
      <c r="D792" s="603"/>
      <c r="E792" s="603"/>
      <c r="F792" s="603"/>
      <c r="G792" s="603"/>
      <c r="H792" s="603"/>
      <c r="I792" s="603"/>
      <c r="J792" s="603"/>
      <c r="K792" s="603"/>
      <c r="L792" s="603"/>
      <c r="M792" s="603"/>
      <c r="N792" s="200"/>
      <c r="O792" s="199"/>
      <c r="P792" s="24"/>
      <c r="Q792" s="24"/>
      <c r="R792" s="398"/>
      <c r="S792" s="398"/>
      <c r="T792" s="398"/>
      <c r="U792" s="398"/>
      <c r="V792" s="398"/>
      <c r="W792" s="398"/>
      <c r="X792" s="398"/>
      <c r="Y792" s="398"/>
      <c r="Z792" s="398"/>
      <c r="AA792" s="398"/>
      <c r="AB792" s="200"/>
      <c r="AI792" s="459" t="s">
        <v>2826</v>
      </c>
      <c r="AK792" s="465" t="str">
        <f t="shared" si="4"/>
        <v/>
      </c>
      <c r="AN792" s="2" t="s">
        <v>2832</v>
      </c>
      <c r="AP792" s="2" t="s">
        <v>2839</v>
      </c>
      <c r="AR792" s="2" t="s">
        <v>2849</v>
      </c>
    </row>
    <row r="793" spans="1:44" ht="19.95" customHeight="1">
      <c r="A793" s="199"/>
      <c r="B793" s="468"/>
      <c r="C793" s="468"/>
      <c r="D793" s="468"/>
      <c r="E793" s="468"/>
      <c r="F793" s="468"/>
      <c r="G793" s="468"/>
      <c r="H793" s="468"/>
      <c r="I793" s="468"/>
      <c r="J793" s="468"/>
      <c r="K793" s="468"/>
      <c r="L793" s="468"/>
      <c r="M793" s="468"/>
      <c r="N793" s="200"/>
      <c r="O793" s="199"/>
      <c r="P793" s="24"/>
      <c r="Q793" s="24"/>
      <c r="R793" s="398"/>
      <c r="S793" s="398"/>
      <c r="T793" s="398"/>
      <c r="U793" s="398"/>
      <c r="V793" s="398"/>
      <c r="W793" s="398"/>
      <c r="X793" s="398"/>
      <c r="Y793" s="398"/>
      <c r="Z793" s="398"/>
      <c r="AA793" s="398"/>
      <c r="AB793" s="200"/>
      <c r="AI793" s="459" t="s">
        <v>2827</v>
      </c>
      <c r="AK793" s="465" t="str">
        <f t="shared" si="4"/>
        <v/>
      </c>
      <c r="AN793" s="2" t="s">
        <v>2833</v>
      </c>
      <c r="AP793" s="2" t="s">
        <v>2840</v>
      </c>
      <c r="AR793" s="2" t="s">
        <v>2850</v>
      </c>
    </row>
    <row r="794" spans="1:44" ht="19.95" customHeight="1">
      <c r="A794" s="199"/>
      <c r="B794" s="24"/>
      <c r="C794" s="24"/>
      <c r="D794" s="24"/>
      <c r="E794" s="24"/>
      <c r="F794" s="24"/>
      <c r="G794" s="24"/>
      <c r="H794" s="24"/>
      <c r="I794" s="24"/>
      <c r="J794" s="24"/>
      <c r="K794" s="24"/>
      <c r="L794" s="24"/>
      <c r="M794" s="24"/>
      <c r="N794" s="200"/>
      <c r="O794" s="199"/>
      <c r="P794" s="24"/>
      <c r="Q794" s="24"/>
      <c r="R794" s="398"/>
      <c r="S794" s="398"/>
      <c r="T794" s="398"/>
      <c r="U794" s="398"/>
      <c r="V794" s="398"/>
      <c r="W794" s="398"/>
      <c r="X794" s="398"/>
      <c r="Y794" s="398"/>
      <c r="Z794" s="398"/>
      <c r="AA794" s="398"/>
      <c r="AB794" s="200"/>
      <c r="AI794" s="459" t="s">
        <v>2828</v>
      </c>
      <c r="AK794" s="465" t="str">
        <f t="shared" si="4"/>
        <v/>
      </c>
      <c r="AN794" s="2" t="s">
        <v>2834</v>
      </c>
      <c r="AP794" s="2" t="s">
        <v>2841</v>
      </c>
      <c r="AR794" s="2" t="s">
        <v>2851</v>
      </c>
    </row>
    <row r="795" spans="1:44" ht="19.95" customHeight="1">
      <c r="A795" s="199"/>
      <c r="B795" s="24"/>
      <c r="C795" s="24"/>
      <c r="D795" s="24"/>
      <c r="E795" s="24"/>
      <c r="F795" s="24"/>
      <c r="G795" s="24"/>
      <c r="H795" s="24"/>
      <c r="I795" s="24"/>
      <c r="J795" s="24"/>
      <c r="K795" s="24"/>
      <c r="L795" s="24"/>
      <c r="M795" s="24"/>
      <c r="N795" s="200"/>
      <c r="O795" s="199"/>
      <c r="P795" s="24"/>
      <c r="Q795" s="24"/>
      <c r="R795" s="398"/>
      <c r="S795" s="398"/>
      <c r="T795" s="398"/>
      <c r="U795" s="398"/>
      <c r="V795" s="398"/>
      <c r="W795" s="398"/>
      <c r="X795" s="398"/>
      <c r="Y795" s="398"/>
      <c r="Z795" s="398"/>
      <c r="AA795" s="398"/>
      <c r="AB795" s="200"/>
      <c r="AI795" s="459" t="s">
        <v>2821</v>
      </c>
      <c r="AK795" s="465" t="str">
        <f t="shared" si="4"/>
        <v/>
      </c>
      <c r="AN795" s="2" t="s">
        <v>2835</v>
      </c>
      <c r="AP795" s="2" t="s">
        <v>2842</v>
      </c>
      <c r="AR795" s="2" t="s">
        <v>2852</v>
      </c>
    </row>
    <row r="796" spans="1:44" ht="19.95" customHeight="1">
      <c r="A796" s="199"/>
      <c r="B796" s="24"/>
      <c r="C796" s="24"/>
      <c r="D796" s="24"/>
      <c r="E796" s="24"/>
      <c r="F796" s="24"/>
      <c r="G796" s="24"/>
      <c r="H796" s="24"/>
      <c r="I796" s="24"/>
      <c r="J796" s="24"/>
      <c r="K796" s="24"/>
      <c r="L796" s="24"/>
      <c r="M796" s="24"/>
      <c r="N796" s="200"/>
      <c r="O796" s="199"/>
      <c r="P796" s="24"/>
      <c r="Q796" s="24"/>
      <c r="R796" s="398"/>
      <c r="S796" s="398"/>
      <c r="T796" s="398"/>
      <c r="U796" s="398"/>
      <c r="V796" s="398"/>
      <c r="W796" s="398"/>
      <c r="X796" s="398"/>
      <c r="Y796" s="398"/>
      <c r="Z796" s="398"/>
      <c r="AA796" s="398"/>
      <c r="AB796" s="200"/>
      <c r="AI796" s="459" t="s">
        <v>2829</v>
      </c>
      <c r="AK796" s="465" t="str">
        <f t="shared" si="4"/>
        <v/>
      </c>
      <c r="AN796" s="2" t="s">
        <v>2836</v>
      </c>
      <c r="AP796" s="2" t="s">
        <v>2843</v>
      </c>
      <c r="AR796" s="2" t="s">
        <v>2853</v>
      </c>
    </row>
    <row r="797" spans="1:44" ht="19.95" customHeight="1">
      <c r="A797" s="199"/>
      <c r="B797" s="24"/>
      <c r="C797" s="24"/>
      <c r="D797" s="24"/>
      <c r="E797" s="24"/>
      <c r="F797" s="24"/>
      <c r="G797" s="24"/>
      <c r="H797" s="24"/>
      <c r="I797" s="24"/>
      <c r="J797" s="24"/>
      <c r="K797" s="24"/>
      <c r="L797" s="24"/>
      <c r="M797" s="24"/>
      <c r="N797" s="200"/>
      <c r="O797" s="199"/>
      <c r="P797" s="24"/>
      <c r="Q797" s="24"/>
      <c r="R797" s="398"/>
      <c r="S797" s="398"/>
      <c r="T797" s="398"/>
      <c r="U797" s="398"/>
      <c r="V797" s="398"/>
      <c r="W797" s="398"/>
      <c r="X797" s="398"/>
      <c r="Y797" s="398"/>
      <c r="Z797" s="398"/>
      <c r="AA797" s="398"/>
      <c r="AB797" s="200"/>
    </row>
    <row r="798" spans="1:44" ht="19.95" customHeight="1">
      <c r="A798" s="199"/>
      <c r="B798" s="24"/>
      <c r="C798" s="24"/>
      <c r="D798" s="24"/>
      <c r="E798" s="24"/>
      <c r="F798" s="24"/>
      <c r="G798" s="24"/>
      <c r="H798" s="24"/>
      <c r="I798" s="24"/>
      <c r="J798" s="24"/>
      <c r="K798" s="24"/>
      <c r="L798" s="24"/>
      <c r="M798" s="24"/>
      <c r="N798" s="200"/>
      <c r="O798" s="199"/>
      <c r="P798" s="24"/>
      <c r="Q798" s="24"/>
      <c r="R798" s="398"/>
      <c r="S798" s="398"/>
      <c r="T798" s="398"/>
      <c r="U798" s="398"/>
      <c r="V798" s="398"/>
      <c r="W798" s="398"/>
      <c r="X798" s="398"/>
      <c r="Y798" s="398"/>
      <c r="Z798" s="398"/>
      <c r="AA798" s="398"/>
      <c r="AB798" s="200"/>
      <c r="AI798" s="2" t="s">
        <v>2854</v>
      </c>
      <c r="AK798" s="459" t="s">
        <v>2066</v>
      </c>
    </row>
    <row r="799" spans="1:44" ht="19.95" customHeight="1">
      <c r="A799" s="199"/>
      <c r="B799" s="24"/>
      <c r="C799" s="24"/>
      <c r="D799" s="24"/>
      <c r="E799" s="24"/>
      <c r="F799" s="24"/>
      <c r="G799" s="24"/>
      <c r="H799" s="24"/>
      <c r="I799" s="24"/>
      <c r="J799" s="24"/>
      <c r="K799" s="24"/>
      <c r="L799" s="24"/>
      <c r="M799" s="24"/>
      <c r="N799" s="200"/>
      <c r="O799" s="199"/>
      <c r="P799" s="24"/>
      <c r="Q799" s="24"/>
      <c r="R799" s="398"/>
      <c r="S799" s="398"/>
      <c r="T799" s="398"/>
      <c r="U799" s="398"/>
      <c r="V799" s="398"/>
      <c r="W799" s="398"/>
      <c r="X799" s="398"/>
      <c r="Y799" s="398"/>
      <c r="Z799" s="398"/>
      <c r="AA799" s="398"/>
      <c r="AB799" s="200"/>
      <c r="AI799" s="2" t="s">
        <v>2855</v>
      </c>
      <c r="AK799" s="459" t="s">
        <v>2067</v>
      </c>
    </row>
    <row r="800" spans="1:44" ht="19.95" customHeight="1">
      <c r="A800" s="199"/>
      <c r="B800" s="24"/>
      <c r="C800" s="24"/>
      <c r="D800" s="24"/>
      <c r="E800" s="24"/>
      <c r="F800" s="24"/>
      <c r="G800" s="24"/>
      <c r="H800" s="24"/>
      <c r="I800" s="24"/>
      <c r="J800" s="24"/>
      <c r="K800" s="24"/>
      <c r="L800" s="24"/>
      <c r="M800" s="24"/>
      <c r="N800" s="200"/>
      <c r="O800" s="199"/>
      <c r="P800" s="24"/>
      <c r="Q800" s="24"/>
      <c r="R800" s="398"/>
      <c r="S800" s="398"/>
      <c r="T800" s="398"/>
      <c r="U800" s="398"/>
      <c r="V800" s="398"/>
      <c r="W800" s="398"/>
      <c r="X800" s="398"/>
      <c r="Y800" s="398"/>
      <c r="Z800" s="398"/>
      <c r="AA800" s="398"/>
      <c r="AB800" s="200"/>
      <c r="AI800" s="2" t="s">
        <v>2856</v>
      </c>
      <c r="AK800" s="459" t="s">
        <v>2820</v>
      </c>
    </row>
    <row r="801" spans="1:38" ht="19.95" customHeight="1">
      <c r="A801" s="199"/>
      <c r="B801" s="24"/>
      <c r="C801" s="24"/>
      <c r="D801" s="24"/>
      <c r="E801" s="24"/>
      <c r="F801" s="24"/>
      <c r="G801" s="24"/>
      <c r="H801" s="24"/>
      <c r="I801" s="24"/>
      <c r="J801" s="24"/>
      <c r="K801" s="24"/>
      <c r="L801" s="24"/>
      <c r="M801" s="24"/>
      <c r="N801" s="200"/>
      <c r="O801" s="199"/>
      <c r="P801" s="24"/>
      <c r="Q801" s="24"/>
      <c r="R801" s="398"/>
      <c r="S801" s="398"/>
      <c r="T801" s="398"/>
      <c r="U801" s="398"/>
      <c r="V801" s="398"/>
      <c r="W801" s="398"/>
      <c r="X801" s="398"/>
      <c r="Y801" s="398"/>
      <c r="Z801" s="398"/>
      <c r="AA801" s="398"/>
      <c r="AB801" s="200"/>
    </row>
    <row r="802" spans="1:38" ht="19.95" customHeight="1">
      <c r="A802" s="199"/>
      <c r="B802" s="24"/>
      <c r="C802" s="24"/>
      <c r="D802" s="24"/>
      <c r="E802" s="24"/>
      <c r="F802" s="24"/>
      <c r="G802" s="24"/>
      <c r="H802" s="24"/>
      <c r="I802" s="24"/>
      <c r="J802" s="24"/>
      <c r="K802" s="24"/>
      <c r="L802" s="24"/>
      <c r="M802" s="24"/>
      <c r="N802" s="200"/>
      <c r="O802" s="199"/>
      <c r="P802" s="24"/>
      <c r="Q802" s="24"/>
      <c r="R802" s="398"/>
      <c r="S802" s="398"/>
      <c r="T802" s="398"/>
      <c r="U802" s="398"/>
      <c r="V802" s="398"/>
      <c r="W802" s="398"/>
      <c r="X802" s="398"/>
      <c r="Y802" s="398"/>
      <c r="Z802" s="398"/>
      <c r="AA802" s="398"/>
      <c r="AB802" s="200"/>
    </row>
    <row r="803" spans="1:38" ht="19.95" customHeight="1">
      <c r="A803" s="199"/>
      <c r="B803" s="24"/>
      <c r="C803" s="24"/>
      <c r="D803" s="24"/>
      <c r="E803" s="24"/>
      <c r="F803" s="24"/>
      <c r="G803" s="24"/>
      <c r="H803" s="24"/>
      <c r="I803" s="24"/>
      <c r="J803" s="24"/>
      <c r="K803" s="24"/>
      <c r="L803" s="24"/>
      <c r="M803" s="24"/>
      <c r="N803" s="200"/>
      <c r="O803" s="199"/>
      <c r="P803" s="24"/>
      <c r="Q803" s="24"/>
      <c r="R803" s="398"/>
      <c r="S803" s="398"/>
      <c r="T803" s="398"/>
      <c r="U803" s="398"/>
      <c r="V803" s="398"/>
      <c r="W803" s="398"/>
      <c r="X803" s="398"/>
      <c r="Y803" s="398"/>
      <c r="Z803" s="398"/>
      <c r="AA803" s="398"/>
      <c r="AB803" s="200"/>
      <c r="AK803" s="595" t="str">
        <f>IF(AND(C814=AK798,G814=AI790),AN790,IF(AND(C814=AK798,G814=AI791),AN791,IF(AND(C814=AK798,G814=AI792),AN792,IF(AND(C814=AK798,G814=AI793),AN793,IF(AND(C814=AK798,G814=AI794),AN794,IF(AND(C814=AK798,G814=AI795),AN795,IF(AND(C814=AK798,G814=AI796),AN796,IF(AND(C814=AK799,G814=AI790),AP790,IF(AND(C814=AK799,G814=AI791),AP791,IF(AND(C814=AK799,G814=AI792),AP792,IF(AND(C814=AK799,G814=AI793),AP793,IF(AND(C814=AK799,G814=AI794),AP794,IF(AND(C814=AK799,G814=AI795),AP795,IF(AND(C814=AK799,G814=AI796),AP796,IF(AND(C814=AK800,G814=AI790),AR790,IF(AND(C814=AK800,G814=AI791),AR791,IF(AND(C814=AK800,G814=AI792),AR792,IF(AND(C814=AK800,G814=AI793),AR793,IF(AND(C814=AK800,G814=AI794),AR794,IF(AND(C814=AK800,G814=AI795),AR795,IF(AND(C814=AK800,G814=AI796),AR796,"")))))))))))))))))))))</f>
        <v/>
      </c>
    </row>
    <row r="804" spans="1:38" ht="19.95" customHeight="1">
      <c r="A804" s="199"/>
      <c r="B804" s="24"/>
      <c r="C804" s="24"/>
      <c r="D804" s="24"/>
      <c r="E804" s="24"/>
      <c r="F804" s="24"/>
      <c r="G804" s="24"/>
      <c r="H804" s="24"/>
      <c r="I804" s="24"/>
      <c r="J804" s="24"/>
      <c r="K804" s="24"/>
      <c r="L804" s="24"/>
      <c r="M804" s="24"/>
      <c r="N804" s="200"/>
      <c r="O804" s="199"/>
      <c r="P804" s="24"/>
      <c r="Q804" s="24"/>
      <c r="R804" s="398"/>
      <c r="S804" s="398"/>
      <c r="T804" s="398"/>
      <c r="U804" s="398"/>
      <c r="V804" s="398"/>
      <c r="W804" s="398"/>
      <c r="X804" s="398"/>
      <c r="Y804" s="398"/>
      <c r="Z804" s="398"/>
      <c r="AA804" s="398"/>
      <c r="AB804" s="200"/>
    </row>
    <row r="805" spans="1:38" ht="19.95" customHeight="1">
      <c r="A805" s="199"/>
      <c r="B805" s="601"/>
      <c r="C805" s="601"/>
      <c r="D805" s="601"/>
      <c r="E805" s="601"/>
      <c r="F805" s="601"/>
      <c r="G805" s="601"/>
      <c r="H805" s="601"/>
      <c r="I805" s="601"/>
      <c r="J805" s="601"/>
      <c r="K805" s="601"/>
      <c r="L805" s="601"/>
      <c r="M805" s="601"/>
      <c r="N805" s="200"/>
      <c r="O805" s="199"/>
      <c r="P805" s="24"/>
      <c r="Q805" s="24"/>
      <c r="R805" s="398"/>
      <c r="S805" s="398"/>
      <c r="T805" s="398"/>
      <c r="U805" s="398"/>
      <c r="V805" s="398"/>
      <c r="W805" s="398"/>
      <c r="X805" s="398"/>
      <c r="Y805" s="398"/>
      <c r="Z805" s="398"/>
      <c r="AA805" s="398"/>
      <c r="AB805" s="200"/>
    </row>
    <row r="806" spans="1:38" ht="19.95" customHeight="1">
      <c r="A806" s="199"/>
      <c r="B806" s="601"/>
      <c r="C806" s="601"/>
      <c r="D806" s="601"/>
      <c r="E806" s="601"/>
      <c r="F806" s="601"/>
      <c r="G806" s="601"/>
      <c r="H806" s="601"/>
      <c r="I806" s="601"/>
      <c r="J806" s="601"/>
      <c r="K806" s="601"/>
      <c r="L806" s="601"/>
      <c r="M806" s="601"/>
      <c r="N806" s="200"/>
      <c r="O806" s="199"/>
      <c r="P806" s="24"/>
      <c r="Q806" s="24"/>
      <c r="R806" s="398"/>
      <c r="S806" s="398"/>
      <c r="T806" s="398"/>
      <c r="U806" s="398"/>
      <c r="V806" s="398"/>
      <c r="W806" s="398"/>
      <c r="X806" s="398"/>
      <c r="Y806" s="398"/>
      <c r="Z806" s="398"/>
      <c r="AA806" s="398"/>
      <c r="AB806" s="200"/>
    </row>
    <row r="807" spans="1:38" ht="19.95" customHeight="1">
      <c r="A807" s="199"/>
      <c r="B807" s="601"/>
      <c r="C807" s="601"/>
      <c r="D807" s="601"/>
      <c r="E807" s="601"/>
      <c r="F807" s="601"/>
      <c r="G807" s="601"/>
      <c r="H807" s="601"/>
      <c r="I807" s="601"/>
      <c r="J807" s="601"/>
      <c r="K807" s="601"/>
      <c r="L807" s="601"/>
      <c r="M807" s="601"/>
      <c r="N807" s="200"/>
      <c r="O807" s="199"/>
      <c r="P807" s="24"/>
      <c r="Q807" s="24"/>
      <c r="R807" s="398"/>
      <c r="S807" s="398"/>
      <c r="T807" s="398"/>
      <c r="U807" s="398"/>
      <c r="V807" s="398"/>
      <c r="W807" s="398"/>
      <c r="X807" s="398"/>
      <c r="Y807" s="398"/>
      <c r="Z807" s="398"/>
      <c r="AA807" s="398"/>
      <c r="AB807" s="200"/>
    </row>
    <row r="808" spans="1:38" ht="19.95" customHeight="1">
      <c r="A808" s="199"/>
      <c r="B808" s="601"/>
      <c r="C808" s="601"/>
      <c r="D808" s="601"/>
      <c r="E808" s="601"/>
      <c r="F808" s="601"/>
      <c r="G808" s="601"/>
      <c r="H808" s="601"/>
      <c r="I808" s="601"/>
      <c r="J808" s="601"/>
      <c r="K808" s="601"/>
      <c r="L808" s="601"/>
      <c r="M808" s="601"/>
      <c r="N808" s="200"/>
      <c r="O808" s="199"/>
      <c r="P808" s="24"/>
      <c r="Q808" s="24"/>
      <c r="R808" s="398"/>
      <c r="S808" s="398"/>
      <c r="T808" s="398"/>
      <c r="U808" s="398"/>
      <c r="V808" s="398"/>
      <c r="W808" s="398"/>
      <c r="X808" s="398"/>
      <c r="Y808" s="398"/>
      <c r="Z808" s="398"/>
      <c r="AA808" s="398"/>
      <c r="AB808" s="200"/>
    </row>
    <row r="809" spans="1:38" ht="19.95" customHeight="1">
      <c r="A809" s="199"/>
      <c r="B809" s="601"/>
      <c r="C809" s="601"/>
      <c r="D809" s="601"/>
      <c r="E809" s="601"/>
      <c r="F809" s="601"/>
      <c r="G809" s="601"/>
      <c r="H809" s="601"/>
      <c r="I809" s="601"/>
      <c r="J809" s="601"/>
      <c r="K809" s="601"/>
      <c r="L809" s="601"/>
      <c r="M809" s="601"/>
      <c r="N809" s="200"/>
      <c r="O809" s="199"/>
      <c r="P809" s="24"/>
      <c r="Q809" s="24"/>
      <c r="R809" s="398"/>
      <c r="S809" s="398"/>
      <c r="T809" s="398"/>
      <c r="U809" s="398"/>
      <c r="V809" s="398"/>
      <c r="W809" s="398"/>
      <c r="X809" s="398"/>
      <c r="Y809" s="398"/>
      <c r="Z809" s="398"/>
      <c r="AA809" s="398"/>
      <c r="AB809" s="200"/>
    </row>
    <row r="810" spans="1:38" ht="19.95" customHeight="1">
      <c r="A810" s="199"/>
      <c r="B810" s="601"/>
      <c r="C810" s="601"/>
      <c r="D810" s="601"/>
      <c r="E810" s="601"/>
      <c r="F810" s="601"/>
      <c r="G810" s="601"/>
      <c r="H810" s="601"/>
      <c r="I810" s="601"/>
      <c r="J810" s="601"/>
      <c r="K810" s="601"/>
      <c r="L810" s="601"/>
      <c r="M810" s="601"/>
      <c r="N810" s="200"/>
      <c r="O810" s="199"/>
      <c r="P810" s="24"/>
      <c r="Q810" s="24"/>
      <c r="R810" s="398"/>
      <c r="S810" s="398"/>
      <c r="T810" s="398"/>
      <c r="U810" s="398"/>
      <c r="V810" s="398"/>
      <c r="W810" s="398"/>
      <c r="X810" s="398"/>
      <c r="Y810" s="398"/>
      <c r="Z810" s="398"/>
      <c r="AA810" s="398"/>
      <c r="AB810" s="200"/>
    </row>
    <row r="811" spans="1:38" ht="19.95" customHeight="1">
      <c r="A811" s="199"/>
      <c r="B811" s="601"/>
      <c r="C811" s="601"/>
      <c r="D811" s="601"/>
      <c r="E811" s="601"/>
      <c r="F811" s="601"/>
      <c r="G811" s="601"/>
      <c r="H811" s="601"/>
      <c r="I811" s="601"/>
      <c r="J811" s="601"/>
      <c r="K811" s="601"/>
      <c r="L811" s="601"/>
      <c r="M811" s="601"/>
      <c r="N811" s="200"/>
      <c r="O811" s="199"/>
      <c r="P811" s="24"/>
      <c r="Q811" s="24"/>
      <c r="R811" s="398"/>
      <c r="S811" s="398"/>
      <c r="T811" s="398"/>
      <c r="U811" s="398"/>
      <c r="V811" s="398"/>
      <c r="W811" s="398"/>
      <c r="X811" s="398"/>
      <c r="Y811" s="398"/>
      <c r="Z811" s="398"/>
      <c r="AA811" s="398"/>
      <c r="AB811" s="200"/>
    </row>
    <row r="812" spans="1:38" ht="19.95" customHeight="1">
      <c r="A812" s="199"/>
      <c r="B812" s="601"/>
      <c r="C812" s="601"/>
      <c r="D812" s="601"/>
      <c r="E812" s="601"/>
      <c r="F812" s="601"/>
      <c r="G812" s="601"/>
      <c r="H812" s="601"/>
      <c r="I812" s="601"/>
      <c r="J812" s="601"/>
      <c r="K812" s="601"/>
      <c r="L812" s="601"/>
      <c r="M812" s="601"/>
      <c r="N812" s="200"/>
      <c r="O812" s="199"/>
      <c r="P812" s="24"/>
      <c r="Q812" s="24"/>
      <c r="R812" s="398"/>
      <c r="S812" s="398"/>
      <c r="T812" s="398"/>
      <c r="U812" s="398"/>
      <c r="V812" s="398"/>
      <c r="W812" s="398"/>
      <c r="X812" s="398"/>
      <c r="Y812" s="398"/>
      <c r="Z812" s="398"/>
      <c r="AA812" s="398"/>
      <c r="AB812" s="200"/>
    </row>
    <row r="813" spans="1:38" ht="4.95" customHeight="1" thickBot="1">
      <c r="A813" s="199"/>
      <c r="B813" s="601"/>
      <c r="C813" s="601"/>
      <c r="D813" s="601"/>
      <c r="E813" s="601"/>
      <c r="F813" s="601"/>
      <c r="G813" s="601"/>
      <c r="H813" s="601"/>
      <c r="I813" s="601"/>
      <c r="J813" s="601"/>
      <c r="K813" s="601"/>
      <c r="L813" s="601"/>
      <c r="M813" s="601"/>
      <c r="N813" s="200"/>
      <c r="O813" s="199"/>
      <c r="P813" s="24"/>
      <c r="Q813" s="24"/>
      <c r="R813" s="398"/>
      <c r="S813" s="398"/>
      <c r="T813" s="398"/>
      <c r="U813" s="398"/>
      <c r="V813" s="398"/>
      <c r="W813" s="398"/>
      <c r="X813" s="398"/>
      <c r="Y813" s="398"/>
      <c r="Z813" s="398"/>
      <c r="AA813" s="398"/>
      <c r="AB813" s="200"/>
    </row>
    <row r="814" spans="1:38" ht="25.05" customHeight="1" thickBot="1">
      <c r="A814" s="199"/>
      <c r="B814" s="732" t="s">
        <v>2822</v>
      </c>
      <c r="C814" s="1324"/>
      <c r="D814" s="1326"/>
      <c r="E814" s="601"/>
      <c r="F814" s="732" t="s">
        <v>2823</v>
      </c>
      <c r="G814" s="1324"/>
      <c r="H814" s="1325"/>
      <c r="I814" s="1325"/>
      <c r="J814" s="1325"/>
      <c r="K814" s="1325"/>
      <c r="L814" s="1325"/>
      <c r="M814" s="1326"/>
      <c r="N814" s="200"/>
      <c r="O814" s="199"/>
      <c r="P814" s="24"/>
      <c r="Q814" s="24"/>
      <c r="R814" s="398"/>
      <c r="S814" s="398"/>
      <c r="T814" s="398"/>
      <c r="U814" s="398"/>
      <c r="V814" s="398"/>
      <c r="W814" s="398"/>
      <c r="X814" s="398"/>
      <c r="Y814" s="398"/>
      <c r="Z814" s="398"/>
      <c r="AA814" s="398"/>
      <c r="AB814" s="200"/>
      <c r="AI814" s="459" t="str">
        <f>CONCATENATE(AK814,AL814,AM814,AN814,AO814,AP814,AK815,AL815,AM815,AN815,AO815,AP815,AW814)</f>
        <v xml:space="preserve"> The point here is to being responsive to their needs. Along the way, we assess their responsiveness to your impacted needs. We rate their legitimacy. We grab the power.</v>
      </c>
      <c r="AK814" s="409" t="str">
        <f>AK803</f>
        <v/>
      </c>
      <c r="AL814" s="465" t="s">
        <v>2857</v>
      </c>
    </row>
    <row r="815" spans="1:38" ht="4.95" customHeight="1">
      <c r="A815" s="199"/>
      <c r="B815" s="603"/>
      <c r="C815" s="603"/>
      <c r="D815" s="603"/>
      <c r="E815" s="603"/>
      <c r="F815" s="603"/>
      <c r="G815" s="603"/>
      <c r="H815" s="603"/>
      <c r="I815" s="603"/>
      <c r="J815" s="603"/>
      <c r="K815" s="603"/>
      <c r="L815" s="603"/>
      <c r="M815" s="603"/>
      <c r="N815" s="200"/>
      <c r="O815" s="199"/>
      <c r="P815" s="24"/>
      <c r="Q815" s="24"/>
      <c r="R815" s="398"/>
      <c r="S815" s="398"/>
      <c r="T815" s="398"/>
      <c r="U815" s="398"/>
      <c r="V815" s="398"/>
      <c r="W815" s="398"/>
      <c r="X815" s="398"/>
      <c r="Y815" s="398"/>
      <c r="Z815" s="398"/>
      <c r="AA815" s="398"/>
      <c r="AB815" s="200"/>
    </row>
    <row r="816" spans="1:38" ht="25.05" customHeight="1">
      <c r="A816" s="199"/>
      <c r="B816" s="1299" t="str">
        <f>AI816</f>
        <v xml:space="preserve">In the above white field on the left, select Impactor type. Then select a possible reply in the dropdown list to its right. You grow when you can freely speak the truth of your needs to such power.
</v>
      </c>
      <c r="C816" s="1299"/>
      <c r="D816" s="1299"/>
      <c r="E816" s="1299"/>
      <c r="F816" s="1299"/>
      <c r="G816" s="1299"/>
      <c r="H816" s="1299"/>
      <c r="I816" s="1299"/>
      <c r="J816" s="1299"/>
      <c r="K816" s="1299"/>
      <c r="L816" s="1299"/>
      <c r="M816" s="1299"/>
      <c r="N816" s="200"/>
      <c r="O816" s="199"/>
      <c r="P816" s="24"/>
      <c r="Q816" s="24"/>
      <c r="R816" s="398"/>
      <c r="S816" s="398"/>
      <c r="T816" s="398"/>
      <c r="U816" s="398"/>
      <c r="V816" s="398"/>
      <c r="W816" s="398"/>
      <c r="X816" s="398"/>
      <c r="Y816" s="398"/>
      <c r="Z816" s="398"/>
      <c r="AA816" s="398"/>
      <c r="AB816" s="200"/>
      <c r="AI816" s="2" t="str">
        <f>IF(OR(C814="",G814=""),AK816,AI814)</f>
        <v xml:space="preserve">In the above white field on the left, select Impactor type. Then select a possible reply in the dropdown list to its right. You grow when you can freely speak the truth of your needs to such power.
</v>
      </c>
      <c r="AK816" s="46" t="s">
        <v>2858</v>
      </c>
    </row>
    <row r="817" spans="1:43" ht="25.05" customHeight="1">
      <c r="A817" s="199"/>
      <c r="B817" s="1299"/>
      <c r="C817" s="1299"/>
      <c r="D817" s="1299"/>
      <c r="E817" s="1299"/>
      <c r="F817" s="1299"/>
      <c r="G817" s="1299"/>
      <c r="H817" s="1299"/>
      <c r="I817" s="1299"/>
      <c r="J817" s="1299"/>
      <c r="K817" s="1299"/>
      <c r="L817" s="1299"/>
      <c r="M817" s="1299"/>
      <c r="N817" s="200"/>
      <c r="O817" s="199"/>
      <c r="P817" s="24"/>
      <c r="Q817" s="24"/>
      <c r="R817" s="398"/>
      <c r="S817" s="398"/>
      <c r="T817" s="398"/>
      <c r="U817" s="398"/>
      <c r="V817" s="398"/>
      <c r="W817" s="398"/>
      <c r="X817" s="398"/>
      <c r="Y817" s="398"/>
      <c r="Z817" s="398"/>
      <c r="AA817" s="398"/>
      <c r="AB817" s="200"/>
    </row>
    <row r="818" spans="1:43" ht="4.95" customHeight="1">
      <c r="A818" s="199"/>
      <c r="B818" s="24"/>
      <c r="C818" s="24"/>
      <c r="D818" s="24"/>
      <c r="E818" s="24"/>
      <c r="F818" s="24"/>
      <c r="G818" s="24"/>
      <c r="H818" s="24"/>
      <c r="I818" s="24"/>
      <c r="J818" s="24"/>
      <c r="K818" s="24"/>
      <c r="L818" s="24"/>
      <c r="M818" s="24"/>
      <c r="N818" s="200"/>
      <c r="O818" s="199"/>
      <c r="P818" s="24"/>
      <c r="Q818" s="24"/>
      <c r="R818" s="398"/>
      <c r="S818" s="398"/>
      <c r="T818" s="398"/>
      <c r="U818" s="398"/>
      <c r="V818" s="398"/>
      <c r="W818" s="398"/>
      <c r="X818" s="398"/>
      <c r="Y818" s="398"/>
      <c r="Z818" s="398"/>
      <c r="AA818" s="398"/>
      <c r="AB818" s="200"/>
    </row>
    <row r="819" spans="1:43" ht="30" customHeight="1">
      <c r="A819" s="210" t="s">
        <v>1148</v>
      </c>
      <c r="B819" s="399" t="s">
        <v>3152</v>
      </c>
      <c r="C819" s="582"/>
      <c r="D819" s="582"/>
      <c r="E819" s="583"/>
      <c r="F819" s="584"/>
      <c r="G819" s="582"/>
      <c r="H819" s="582"/>
      <c r="I819" s="582"/>
      <c r="J819" s="582"/>
      <c r="K819" s="582"/>
      <c r="L819" s="373"/>
      <c r="M819" s="373"/>
      <c r="N819" s="211" t="s">
        <v>1149</v>
      </c>
      <c r="O819" s="372"/>
      <c r="P819" s="374"/>
      <c r="Q819" s="373"/>
      <c r="R819" s="373"/>
      <c r="S819" s="373"/>
      <c r="T819" s="373"/>
      <c r="U819" s="373"/>
      <c r="V819" s="373"/>
      <c r="W819" s="373"/>
      <c r="X819" s="373"/>
      <c r="Y819" s="373"/>
      <c r="Z819" s="373"/>
      <c r="AA819" s="373"/>
      <c r="AB819" s="211" t="s">
        <v>1149</v>
      </c>
    </row>
    <row r="820" spans="1:43" ht="10.050000000000001" customHeight="1">
      <c r="A820" s="199"/>
      <c r="B820" s="24"/>
      <c r="C820" s="24"/>
      <c r="D820" s="24"/>
      <c r="E820" s="24"/>
      <c r="F820" s="24"/>
      <c r="G820" s="24"/>
      <c r="H820" s="24"/>
      <c r="I820" s="24"/>
      <c r="J820" s="24"/>
      <c r="K820" s="24"/>
      <c r="L820" s="24"/>
      <c r="M820" s="24"/>
      <c r="N820" s="200"/>
      <c r="O820" s="199"/>
      <c r="P820" s="24"/>
      <c r="Q820" s="24"/>
      <c r="R820" s="398"/>
      <c r="S820" s="398"/>
      <c r="T820" s="398"/>
      <c r="U820" s="398"/>
      <c r="V820" s="398"/>
      <c r="W820" s="398"/>
      <c r="X820" s="398"/>
      <c r="Y820" s="398"/>
      <c r="Z820" s="398"/>
      <c r="AA820" s="398"/>
      <c r="AB820" s="200"/>
    </row>
    <row r="821" spans="1:43" ht="19.95" customHeight="1">
      <c r="A821" s="199"/>
      <c r="B821" s="719" t="s">
        <v>2816</v>
      </c>
      <c r="C821" s="24"/>
      <c r="D821" s="24"/>
      <c r="E821" s="24"/>
      <c r="F821" s="24"/>
      <c r="G821" s="24"/>
      <c r="H821" s="24"/>
      <c r="I821" s="24"/>
      <c r="J821" s="24"/>
      <c r="K821" s="24"/>
      <c r="L821" s="24"/>
      <c r="M821" s="24"/>
      <c r="N821" s="200"/>
      <c r="O821" s="199"/>
      <c r="P821" s="24"/>
      <c r="Q821" s="24"/>
      <c r="R821" s="398"/>
      <c r="S821" s="398"/>
      <c r="T821" s="398"/>
      <c r="U821" s="398"/>
      <c r="V821" s="398"/>
      <c r="W821" s="398"/>
      <c r="X821" s="398"/>
      <c r="Y821" s="398"/>
      <c r="Z821" s="398"/>
      <c r="AA821" s="398"/>
      <c r="AB821" s="200"/>
      <c r="AI821" s="459" t="str">
        <f>CONCATENATE(AK821,AL821)</f>
        <v/>
      </c>
      <c r="AK821" s="409"/>
      <c r="AO821" s="37" t="s">
        <v>2859</v>
      </c>
      <c r="AP821" s="37" t="s">
        <v>2860</v>
      </c>
      <c r="AQ821" s="37" t="s">
        <v>2861</v>
      </c>
    </row>
    <row r="822" spans="1:43" ht="10.050000000000001" customHeight="1">
      <c r="A822" s="199"/>
      <c r="B822" s="588"/>
      <c r="C822" s="24"/>
      <c r="D822" s="24"/>
      <c r="E822" s="24"/>
      <c r="F822" s="24"/>
      <c r="G822" s="24"/>
      <c r="H822" s="24"/>
      <c r="I822" s="24"/>
      <c r="J822" s="24"/>
      <c r="K822" s="24"/>
      <c r="L822" s="24"/>
      <c r="M822" s="24"/>
      <c r="N822" s="200"/>
      <c r="O822" s="199"/>
      <c r="P822" s="24"/>
      <c r="Q822" s="24"/>
      <c r="R822" s="398"/>
      <c r="S822" s="398"/>
      <c r="T822" s="398"/>
      <c r="U822" s="398"/>
      <c r="V822" s="398"/>
      <c r="W822" s="398"/>
      <c r="X822" s="398"/>
      <c r="Y822" s="398"/>
      <c r="Z822" s="398"/>
      <c r="AA822" s="398"/>
      <c r="AB822" s="200"/>
    </row>
    <row r="823" spans="1:43" ht="19.05" customHeight="1">
      <c r="A823" s="199"/>
      <c r="B823" s="588"/>
      <c r="C823" s="24"/>
      <c r="D823" s="24"/>
      <c r="E823" s="601"/>
      <c r="F823" s="601"/>
      <c r="G823" s="601"/>
      <c r="H823" s="601"/>
      <c r="I823" s="601"/>
      <c r="J823" s="601"/>
      <c r="K823" s="601"/>
      <c r="L823" s="601"/>
      <c r="M823" s="601"/>
      <c r="N823" s="200"/>
      <c r="O823" s="199"/>
      <c r="P823" s="24"/>
      <c r="Q823" s="24"/>
      <c r="R823" s="398"/>
      <c r="S823" s="398"/>
      <c r="T823" s="398"/>
      <c r="U823" s="398"/>
      <c r="V823" s="398"/>
      <c r="W823" s="398"/>
      <c r="X823" s="398"/>
      <c r="Y823" s="398"/>
      <c r="Z823" s="398"/>
      <c r="AA823" s="398"/>
      <c r="AB823" s="200"/>
      <c r="AO823" s="2" t="s">
        <v>2901</v>
      </c>
      <c r="AP823" s="2" t="s">
        <v>2876</v>
      </c>
      <c r="AQ823" s="2" t="s">
        <v>2882</v>
      </c>
    </row>
    <row r="824" spans="1:43" ht="19.05" customHeight="1">
      <c r="A824" s="199"/>
      <c r="B824" s="24"/>
      <c r="C824" s="24"/>
      <c r="D824" s="24"/>
      <c r="E824" s="601"/>
      <c r="F824" s="601"/>
      <c r="G824" s="601"/>
      <c r="H824" s="601"/>
      <c r="I824" s="601"/>
      <c r="J824" s="601"/>
      <c r="K824" s="601"/>
      <c r="L824" s="601"/>
      <c r="M824" s="601"/>
      <c r="N824" s="200"/>
      <c r="O824" s="199"/>
      <c r="P824" s="24"/>
      <c r="Q824" s="24"/>
      <c r="R824" s="398"/>
      <c r="S824" s="398"/>
      <c r="T824" s="398"/>
      <c r="U824" s="398"/>
      <c r="V824" s="398"/>
      <c r="W824" s="398"/>
      <c r="X824" s="398"/>
      <c r="Y824" s="398"/>
      <c r="Z824" s="398"/>
      <c r="AA824" s="398"/>
      <c r="AB824" s="200"/>
      <c r="AO824" s="2" t="s">
        <v>2862</v>
      </c>
      <c r="AP824" s="2" t="s">
        <v>2877</v>
      </c>
      <c r="AQ824" s="2" t="s">
        <v>2883</v>
      </c>
    </row>
    <row r="825" spans="1:43" ht="19.05" customHeight="1">
      <c r="A825" s="199"/>
      <c r="B825" s="24"/>
      <c r="C825" s="24"/>
      <c r="D825" s="24"/>
      <c r="E825" s="601"/>
      <c r="F825" s="601"/>
      <c r="G825" s="601"/>
      <c r="H825" s="601"/>
      <c r="I825" s="601"/>
      <c r="J825" s="601"/>
      <c r="K825" s="601"/>
      <c r="L825" s="601"/>
      <c r="M825" s="601"/>
      <c r="N825" s="200"/>
      <c r="O825" s="199"/>
      <c r="P825" s="24"/>
      <c r="Q825" s="24"/>
      <c r="R825" s="398"/>
      <c r="S825" s="398"/>
      <c r="T825" s="398"/>
      <c r="U825" s="398"/>
      <c r="V825" s="398"/>
      <c r="W825" s="398"/>
      <c r="X825" s="398"/>
      <c r="Y825" s="398"/>
      <c r="Z825" s="398"/>
      <c r="AA825" s="398"/>
      <c r="AB825" s="200"/>
      <c r="AO825" s="2" t="s">
        <v>2863</v>
      </c>
      <c r="AP825" s="2" t="s">
        <v>2878</v>
      </c>
      <c r="AQ825" s="2" t="s">
        <v>2884</v>
      </c>
    </row>
    <row r="826" spans="1:43" ht="19.05" customHeight="1">
      <c r="A826" s="199"/>
      <c r="B826" s="24"/>
      <c r="C826" s="24"/>
      <c r="D826" s="24"/>
      <c r="E826" s="601"/>
      <c r="F826" s="601"/>
      <c r="G826" s="601"/>
      <c r="H826" s="601"/>
      <c r="I826" s="601"/>
      <c r="J826" s="601"/>
      <c r="K826" s="601"/>
      <c r="L826" s="601"/>
      <c r="M826" s="601"/>
      <c r="N826" s="200"/>
      <c r="O826" s="199"/>
      <c r="P826" s="24"/>
      <c r="Q826" s="24"/>
      <c r="R826" s="398"/>
      <c r="S826" s="398"/>
      <c r="T826" s="398"/>
      <c r="U826" s="398"/>
      <c r="V826" s="398"/>
      <c r="W826" s="398"/>
      <c r="X826" s="398"/>
      <c r="Y826" s="398"/>
      <c r="Z826" s="398"/>
      <c r="AA826" s="398"/>
      <c r="AB826" s="200"/>
      <c r="AO826" s="2" t="s">
        <v>2864</v>
      </c>
      <c r="AP826" s="2" t="s">
        <v>2879</v>
      </c>
      <c r="AQ826" s="2" t="s">
        <v>2885</v>
      </c>
    </row>
    <row r="827" spans="1:43" ht="19.05" customHeight="1">
      <c r="A827" s="199"/>
      <c r="B827" s="24"/>
      <c r="C827" s="24"/>
      <c r="D827" s="24"/>
      <c r="E827" s="601"/>
      <c r="F827" s="601"/>
      <c r="G827" s="601"/>
      <c r="H827" s="601"/>
      <c r="I827" s="601"/>
      <c r="J827" s="601"/>
      <c r="K827" s="601"/>
      <c r="L827" s="601"/>
      <c r="M827" s="601"/>
      <c r="N827" s="200"/>
      <c r="O827" s="199"/>
      <c r="P827" s="24"/>
      <c r="Q827" s="24"/>
      <c r="R827" s="398"/>
      <c r="S827" s="398"/>
      <c r="T827" s="398"/>
      <c r="U827" s="398"/>
      <c r="V827" s="398"/>
      <c r="W827" s="398"/>
      <c r="X827" s="398"/>
      <c r="Y827" s="398"/>
      <c r="Z827" s="398"/>
      <c r="AA827" s="398"/>
      <c r="AB827" s="200"/>
      <c r="AO827" s="2" t="s">
        <v>2900</v>
      </c>
      <c r="AP827" s="2" t="s">
        <v>2880</v>
      </c>
      <c r="AQ827" s="2" t="s">
        <v>2886</v>
      </c>
    </row>
    <row r="828" spans="1:43" ht="25.05" customHeight="1">
      <c r="A828" s="199"/>
      <c r="B828" s="392" t="s">
        <v>2916</v>
      </c>
      <c r="C828" s="24"/>
      <c r="D828" s="24"/>
      <c r="E828" s="601"/>
      <c r="F828" s="601"/>
      <c r="G828" s="601"/>
      <c r="H828" s="601"/>
      <c r="I828" s="601"/>
      <c r="J828" s="601"/>
      <c r="K828" s="601"/>
      <c r="L828" s="601"/>
      <c r="M828" s="601"/>
      <c r="N828" s="200"/>
      <c r="O828" s="199"/>
      <c r="P828" s="24"/>
      <c r="Q828" s="24"/>
      <c r="R828" s="398"/>
      <c r="S828" s="398"/>
      <c r="T828" s="398"/>
      <c r="U828" s="398"/>
      <c r="V828" s="398"/>
      <c r="W828" s="398"/>
      <c r="X828" s="398"/>
      <c r="Y828" s="398"/>
      <c r="Z828" s="398"/>
      <c r="AA828" s="398"/>
      <c r="AB828" s="200"/>
      <c r="AO828" s="2" t="s">
        <v>2865</v>
      </c>
      <c r="AP828" s="2" t="s">
        <v>2948</v>
      </c>
      <c r="AQ828" s="2" t="s">
        <v>2887</v>
      </c>
    </row>
    <row r="829" spans="1:43" ht="25.05" customHeight="1">
      <c r="A829" s="199"/>
      <c r="B829" s="601" t="s">
        <v>2937</v>
      </c>
      <c r="C829" s="24"/>
      <c r="D829" s="24"/>
      <c r="E829" s="24"/>
      <c r="F829" s="24"/>
      <c r="G829" s="24"/>
      <c r="H829" s="24"/>
      <c r="I829" s="24"/>
      <c r="J829" s="24"/>
      <c r="K829" s="24"/>
      <c r="L829" s="24"/>
      <c r="M829" s="24"/>
      <c r="N829" s="200"/>
      <c r="O829" s="199"/>
      <c r="P829" s="24"/>
      <c r="Q829" s="24"/>
      <c r="R829" s="398"/>
      <c r="S829" s="398"/>
      <c r="T829" s="398"/>
      <c r="U829" s="398"/>
      <c r="V829" s="398"/>
      <c r="W829" s="398"/>
      <c r="X829" s="398"/>
      <c r="Y829" s="398"/>
      <c r="Z829" s="398"/>
      <c r="AA829" s="398"/>
      <c r="AB829" s="200"/>
      <c r="AO829" s="2" t="s">
        <v>2866</v>
      </c>
      <c r="AP829" s="2" t="s">
        <v>2947</v>
      </c>
      <c r="AQ829" s="2" t="s">
        <v>2888</v>
      </c>
    </row>
    <row r="830" spans="1:43" ht="19.95" customHeight="1" thickBot="1">
      <c r="A830" s="199"/>
      <c r="B830" s="730" t="s">
        <v>2819</v>
      </c>
      <c r="C830" s="731"/>
      <c r="D830" s="731"/>
      <c r="E830" s="731"/>
      <c r="F830" s="731"/>
      <c r="G830" s="731"/>
      <c r="H830" s="731"/>
      <c r="I830" s="731"/>
      <c r="J830" s="731"/>
      <c r="K830" s="731"/>
      <c r="L830" s="731"/>
      <c r="M830" s="731"/>
      <c r="N830" s="200"/>
      <c r="O830" s="199"/>
      <c r="P830" s="24"/>
      <c r="Q830" s="24"/>
      <c r="R830" s="398"/>
      <c r="S830" s="398"/>
      <c r="T830" s="398"/>
      <c r="U830" s="398"/>
      <c r="V830" s="398"/>
      <c r="W830" s="398"/>
      <c r="X830" s="398"/>
      <c r="Y830" s="398"/>
      <c r="Z830" s="398"/>
      <c r="AA830" s="398"/>
      <c r="AB830" s="200"/>
      <c r="AO830" s="2" t="s">
        <v>2867</v>
      </c>
      <c r="AP830" s="2" t="s">
        <v>2949</v>
      </c>
      <c r="AQ830" s="2" t="s">
        <v>2889</v>
      </c>
    </row>
    <row r="831" spans="1:43" ht="19.95" customHeight="1" thickBot="1">
      <c r="A831" s="199"/>
      <c r="B831" s="1363"/>
      <c r="C831" s="1364"/>
      <c r="D831" s="1364"/>
      <c r="E831" s="1364"/>
      <c r="F831" s="1364"/>
      <c r="G831" s="1364"/>
      <c r="H831" s="1364"/>
      <c r="I831" s="1364"/>
      <c r="J831" s="1364"/>
      <c r="K831" s="1364"/>
      <c r="L831" s="1364"/>
      <c r="M831" s="1365"/>
      <c r="N831" s="200"/>
      <c r="O831" s="199"/>
      <c r="P831" s="24"/>
      <c r="Q831" s="24"/>
      <c r="R831" s="398"/>
      <c r="S831" s="398"/>
      <c r="T831" s="398"/>
      <c r="U831" s="398"/>
      <c r="V831" s="398"/>
      <c r="W831" s="398"/>
      <c r="X831" s="398"/>
      <c r="Y831" s="398"/>
      <c r="Z831" s="398"/>
      <c r="AA831" s="398"/>
      <c r="AB831" s="200"/>
      <c r="AI831" s="459" t="str">
        <f>CONCATENATE(AK831,AL831,AM831)</f>
        <v xml:space="preserve">If you continue to 0, you will find it next to impossible to resolve needs. By speaking truth to power, you break the spell of such avoidance. </v>
      </c>
      <c r="AK831" s="465" t="s">
        <v>2910</v>
      </c>
      <c r="AL831" s="2">
        <f>B831</f>
        <v>0</v>
      </c>
      <c r="AM831" s="465" t="s">
        <v>2911</v>
      </c>
      <c r="AO831" s="2" t="s">
        <v>2868</v>
      </c>
      <c r="AP831" s="2" t="s">
        <v>2936</v>
      </c>
      <c r="AQ831" s="2" t="s">
        <v>2890</v>
      </c>
    </row>
    <row r="832" spans="1:43" ht="19.95" customHeight="1">
      <c r="A832" s="199"/>
      <c r="B832" s="1366" t="str">
        <f>AI832</f>
        <v>You typically opt for avoidance unconsciously. This process illuminates those options, to compel Impactors to realize the consequences of their coercive influence.</v>
      </c>
      <c r="C832" s="1366"/>
      <c r="D832" s="1366"/>
      <c r="E832" s="1366"/>
      <c r="F832" s="1366"/>
      <c r="G832" s="1366"/>
      <c r="H832" s="1366"/>
      <c r="I832" s="1366"/>
      <c r="J832" s="1366"/>
      <c r="K832" s="1366"/>
      <c r="L832" s="1366"/>
      <c r="M832" s="1366"/>
      <c r="N832" s="200"/>
      <c r="O832" s="199"/>
      <c r="P832" s="24"/>
      <c r="Q832" s="24"/>
      <c r="R832" s="398"/>
      <c r="S832" s="398"/>
      <c r="T832" s="398"/>
      <c r="U832" s="398"/>
      <c r="V832" s="398"/>
      <c r="W832" s="398"/>
      <c r="X832" s="398"/>
      <c r="Y832" s="398"/>
      <c r="Z832" s="398"/>
      <c r="AA832" s="398"/>
      <c r="AB832" s="200"/>
      <c r="AI832" s="459" t="str">
        <f>IF(B831="",AK832,AI831)</f>
        <v>You typically opt for avoidance unconsciously. This process illuminates those options, to compel Impactors to realize the consequences of their coercive influence.</v>
      </c>
      <c r="AK832" s="734" t="s">
        <v>2897</v>
      </c>
      <c r="AO832" s="2" t="s">
        <v>2869</v>
      </c>
      <c r="AP832" s="2" t="s">
        <v>2881</v>
      </c>
      <c r="AQ832" s="2" t="s">
        <v>2891</v>
      </c>
    </row>
    <row r="833" spans="1:51" ht="19.95" customHeight="1">
      <c r="A833" s="199"/>
      <c r="B833" s="1277"/>
      <c r="C833" s="1277"/>
      <c r="D833" s="1277"/>
      <c r="E833" s="1277"/>
      <c r="F833" s="1277"/>
      <c r="G833" s="1277"/>
      <c r="H833" s="1277"/>
      <c r="I833" s="1277"/>
      <c r="J833" s="1277"/>
      <c r="K833" s="1277"/>
      <c r="L833" s="1277"/>
      <c r="M833" s="1277"/>
      <c r="N833" s="200"/>
      <c r="O833" s="199"/>
      <c r="P833" s="24"/>
      <c r="Q833" s="24"/>
      <c r="R833" s="398"/>
      <c r="S833" s="398"/>
      <c r="T833" s="398"/>
      <c r="U833" s="398"/>
      <c r="V833" s="398"/>
      <c r="W833" s="398"/>
      <c r="X833" s="398"/>
      <c r="Y833" s="398"/>
      <c r="Z833" s="398"/>
      <c r="AA833" s="398"/>
      <c r="AB833" s="200"/>
      <c r="AO833" s="2" t="s">
        <v>2870</v>
      </c>
      <c r="AP833" s="2" t="s">
        <v>2906</v>
      </c>
      <c r="AQ833" s="2" t="s">
        <v>2892</v>
      </c>
    </row>
    <row r="834" spans="1:51" ht="19.95" customHeight="1" thickBot="1">
      <c r="A834" s="199"/>
      <c r="B834" s="728" t="s">
        <v>2818</v>
      </c>
      <c r="C834" s="729"/>
      <c r="D834" s="729"/>
      <c r="E834" s="729"/>
      <c r="F834" s="729"/>
      <c r="G834" s="729"/>
      <c r="H834" s="729"/>
      <c r="I834" s="729"/>
      <c r="J834" s="729"/>
      <c r="K834" s="729"/>
      <c r="L834" s="729"/>
      <c r="M834" s="729"/>
      <c r="N834" s="200"/>
      <c r="O834" s="199"/>
      <c r="P834" s="24"/>
      <c r="Q834" s="24"/>
      <c r="R834" s="398"/>
      <c r="S834" s="398"/>
      <c r="T834" s="398"/>
      <c r="U834" s="398"/>
      <c r="V834" s="398"/>
      <c r="W834" s="398"/>
      <c r="X834" s="398"/>
      <c r="Y834" s="398"/>
      <c r="Z834" s="398"/>
      <c r="AA834" s="398"/>
      <c r="AB834" s="200"/>
      <c r="AO834" s="2" t="s">
        <v>2871</v>
      </c>
      <c r="AP834" s="2" t="s">
        <v>2907</v>
      </c>
      <c r="AQ834" s="2" t="s">
        <v>2893</v>
      </c>
      <c r="AS834" s="139"/>
      <c r="AT834" s="139"/>
      <c r="AU834" s="139"/>
      <c r="AV834" s="139"/>
      <c r="AW834" s="139"/>
      <c r="AX834" s="139"/>
      <c r="AY834" s="139"/>
    </row>
    <row r="835" spans="1:51" ht="19.95" customHeight="1" thickBot="1">
      <c r="A835" s="199"/>
      <c r="B835" s="1363"/>
      <c r="C835" s="1364"/>
      <c r="D835" s="1364"/>
      <c r="E835" s="1364"/>
      <c r="F835" s="1364"/>
      <c r="G835" s="1364"/>
      <c r="H835" s="1364"/>
      <c r="I835" s="1364"/>
      <c r="J835" s="1364"/>
      <c r="K835" s="1364"/>
      <c r="L835" s="1364"/>
      <c r="M835" s="1365"/>
      <c r="N835" s="200"/>
      <c r="O835" s="199"/>
      <c r="P835" s="24"/>
      <c r="Q835" s="24"/>
      <c r="R835" s="398"/>
      <c r="S835" s="398"/>
      <c r="T835" s="398"/>
      <c r="U835" s="398"/>
      <c r="V835" s="398"/>
      <c r="W835" s="398"/>
      <c r="X835" s="398"/>
      <c r="Y835" s="398"/>
      <c r="Z835" s="398"/>
      <c r="AA835" s="398"/>
      <c r="AB835" s="200"/>
      <c r="AI835" s="459" t="str">
        <f>CONCATENATE(AK835,AL835,AM835)</f>
        <v>If you let yourself 0 to ease the pain, you risk damaging your chance to resolve your power impacted needs. Let's conciliate instead.</v>
      </c>
      <c r="AK835" s="465" t="s">
        <v>2912</v>
      </c>
      <c r="AL835" s="2">
        <f>B835</f>
        <v>0</v>
      </c>
      <c r="AM835" s="465" t="s">
        <v>2913</v>
      </c>
      <c r="AO835" s="2" t="s">
        <v>2902</v>
      </c>
      <c r="AP835" s="2" t="s">
        <v>2908</v>
      </c>
      <c r="AQ835" s="2" t="s">
        <v>2894</v>
      </c>
    </row>
    <row r="836" spans="1:51" ht="19.95" customHeight="1">
      <c r="A836" s="199"/>
      <c r="B836" s="1366" t="str">
        <f>AI836</f>
        <v>Your adversarial options likely erupt when you must stop the mounting pain. These can give you leverage. Impactors will likely prefer any conciliatory options you can offer.</v>
      </c>
      <c r="C836" s="1366"/>
      <c r="D836" s="1366"/>
      <c r="E836" s="1366"/>
      <c r="F836" s="1366"/>
      <c r="G836" s="1366"/>
      <c r="H836" s="1366"/>
      <c r="I836" s="1366"/>
      <c r="J836" s="1366"/>
      <c r="K836" s="1366"/>
      <c r="L836" s="1366"/>
      <c r="M836" s="1366"/>
      <c r="N836" s="200"/>
      <c r="O836" s="199"/>
      <c r="P836" s="24"/>
      <c r="Q836" s="24"/>
      <c r="R836" s="398"/>
      <c r="S836" s="398"/>
      <c r="T836" s="398"/>
      <c r="U836" s="398"/>
      <c r="V836" s="398"/>
      <c r="W836" s="398"/>
      <c r="X836" s="398"/>
      <c r="Y836" s="398"/>
      <c r="Z836" s="398"/>
      <c r="AA836" s="398"/>
      <c r="AB836" s="200"/>
      <c r="AI836" s="459" t="str">
        <f>IF(B835="",AK836,AI835)</f>
        <v>Your adversarial options likely erupt when you must stop the mounting pain. These can give you leverage. Impactors will likely prefer any conciliatory options you can offer.</v>
      </c>
      <c r="AK836" s="734" t="s">
        <v>2898</v>
      </c>
      <c r="AO836" s="2" t="s">
        <v>2903</v>
      </c>
      <c r="AP836" s="2" t="s">
        <v>2909</v>
      </c>
      <c r="AQ836" s="2" t="s">
        <v>2895</v>
      </c>
    </row>
    <row r="837" spans="1:51" ht="19.95" customHeight="1">
      <c r="A837" s="199"/>
      <c r="B837" s="1277"/>
      <c r="C837" s="1277"/>
      <c r="D837" s="1277"/>
      <c r="E837" s="1277"/>
      <c r="F837" s="1277"/>
      <c r="G837" s="1277"/>
      <c r="H837" s="1277"/>
      <c r="I837" s="1277"/>
      <c r="J837" s="1277"/>
      <c r="K837" s="1277"/>
      <c r="L837" s="1277"/>
      <c r="M837" s="1277"/>
      <c r="N837" s="200"/>
      <c r="O837" s="199"/>
      <c r="P837" s="24"/>
      <c r="Q837" s="24"/>
      <c r="R837" s="398"/>
      <c r="S837" s="398"/>
      <c r="T837" s="398"/>
      <c r="U837" s="398"/>
      <c r="V837" s="398"/>
      <c r="W837" s="398"/>
      <c r="X837" s="398"/>
      <c r="Y837" s="398"/>
      <c r="Z837" s="398"/>
      <c r="AA837" s="398"/>
      <c r="AB837" s="200"/>
      <c r="AO837" s="2" t="s">
        <v>2872</v>
      </c>
      <c r="AQ837" s="2" t="s">
        <v>2896</v>
      </c>
    </row>
    <row r="838" spans="1:51" ht="19.95" customHeight="1" thickBot="1">
      <c r="A838" s="199"/>
      <c r="B838" s="726" t="s">
        <v>2817</v>
      </c>
      <c r="C838" s="727"/>
      <c r="D838" s="727"/>
      <c r="E838" s="727"/>
      <c r="F838" s="727"/>
      <c r="G838" s="727"/>
      <c r="H838" s="727"/>
      <c r="I838" s="727"/>
      <c r="J838" s="727"/>
      <c r="K838" s="727"/>
      <c r="L838" s="727"/>
      <c r="M838" s="727"/>
      <c r="N838" s="200"/>
      <c r="O838" s="199"/>
      <c r="P838" s="24"/>
      <c r="Q838" s="24"/>
      <c r="R838" s="398"/>
      <c r="S838" s="398"/>
      <c r="T838" s="398"/>
      <c r="U838" s="398"/>
      <c r="V838" s="398"/>
      <c r="W838" s="398"/>
      <c r="X838" s="398"/>
      <c r="Y838" s="398"/>
      <c r="Z838" s="398"/>
      <c r="AA838" s="398"/>
      <c r="AB838" s="200"/>
      <c r="AO838" s="2" t="s">
        <v>2873</v>
      </c>
    </row>
    <row r="839" spans="1:51" ht="19.95" customHeight="1" thickBot="1">
      <c r="A839" s="199"/>
      <c r="B839" s="1363"/>
      <c r="C839" s="1364"/>
      <c r="D839" s="1364"/>
      <c r="E839" s="1364"/>
      <c r="F839" s="1364"/>
      <c r="G839" s="1364"/>
      <c r="H839" s="1364"/>
      <c r="I839" s="1364"/>
      <c r="J839" s="1364"/>
      <c r="K839" s="1364"/>
      <c r="L839" s="1364"/>
      <c r="M839" s="1365"/>
      <c r="N839" s="200"/>
      <c r="O839" s="199"/>
      <c r="P839" s="24"/>
      <c r="Q839" s="24"/>
      <c r="R839" s="398"/>
      <c r="S839" s="398"/>
      <c r="T839" s="398"/>
      <c r="U839" s="398"/>
      <c r="V839" s="398"/>
      <c r="W839" s="398"/>
      <c r="X839" s="398"/>
      <c r="Y839" s="398"/>
      <c r="Z839" s="398"/>
      <c r="AA839" s="398"/>
      <c r="AB839" s="200"/>
      <c r="AI839" s="459" t="str">
        <f>CONCATENATE(AK839,AL839,AM839)</f>
        <v>Power isn't really power unless it resolves needs. Otherwise it's just coercive force.  As you both 0, you draw closer to your campaign goal.</v>
      </c>
      <c r="AK839" s="465" t="s">
        <v>2914</v>
      </c>
      <c r="AL839" s="2">
        <f>B839</f>
        <v>0</v>
      </c>
      <c r="AM839" s="465" t="s">
        <v>2915</v>
      </c>
      <c r="AO839" s="2" t="s">
        <v>2874</v>
      </c>
    </row>
    <row r="840" spans="1:51" ht="19.95" customHeight="1">
      <c r="A840" s="199"/>
      <c r="B840" s="1366" t="str">
        <f>AI840</f>
        <v>You leverge your conciliatory options as preferable to your avoidant and adversrial options. You both agree to address each other's affected needs for each to get beyond the pain.</v>
      </c>
      <c r="C840" s="1366"/>
      <c r="D840" s="1366"/>
      <c r="E840" s="1366"/>
      <c r="F840" s="1366"/>
      <c r="G840" s="1366"/>
      <c r="H840" s="1366"/>
      <c r="I840" s="1366"/>
      <c r="J840" s="1366"/>
      <c r="K840" s="1366"/>
      <c r="L840" s="1366"/>
      <c r="M840" s="1366"/>
      <c r="N840" s="200"/>
      <c r="O840" s="199"/>
      <c r="P840" s="24"/>
      <c r="Q840" s="24"/>
      <c r="R840" s="398"/>
      <c r="S840" s="398"/>
      <c r="T840" s="398"/>
      <c r="U840" s="398"/>
      <c r="V840" s="398"/>
      <c r="W840" s="398"/>
      <c r="X840" s="398"/>
      <c r="Y840" s="398"/>
      <c r="Z840" s="398"/>
      <c r="AA840" s="398"/>
      <c r="AB840" s="200"/>
      <c r="AI840" s="459" t="str">
        <f>IF(B839="",AK840,AI839)</f>
        <v>You leverge your conciliatory options as preferable to your avoidant and adversrial options. You both agree to address each other's affected needs for each to get beyond the pain.</v>
      </c>
      <c r="AK840" s="734" t="s">
        <v>2899</v>
      </c>
      <c r="AO840" s="2" t="s">
        <v>2905</v>
      </c>
    </row>
    <row r="841" spans="1:51" ht="19.95" customHeight="1">
      <c r="A841" s="199"/>
      <c r="B841" s="1277"/>
      <c r="C841" s="1277"/>
      <c r="D841" s="1277"/>
      <c r="E841" s="1277"/>
      <c r="F841" s="1277"/>
      <c r="G841" s="1277"/>
      <c r="H841" s="1277"/>
      <c r="I841" s="1277"/>
      <c r="J841" s="1277"/>
      <c r="K841" s="1277"/>
      <c r="L841" s="1277"/>
      <c r="M841" s="1277"/>
      <c r="N841" s="200"/>
      <c r="O841" s="199"/>
      <c r="P841" s="24"/>
      <c r="Q841" s="24"/>
      <c r="R841" s="398"/>
      <c r="S841" s="398"/>
      <c r="T841" s="398"/>
      <c r="U841" s="398"/>
      <c r="V841" s="398"/>
      <c r="W841" s="398"/>
      <c r="X841" s="398"/>
      <c r="Y841" s="398"/>
      <c r="Z841" s="398"/>
      <c r="AA841" s="398"/>
      <c r="AB841" s="200"/>
      <c r="AO841" s="2" t="s">
        <v>2875</v>
      </c>
    </row>
    <row r="842" spans="1:51" ht="19.95" customHeight="1">
      <c r="A842" s="199"/>
      <c r="B842" s="392" t="s">
        <v>2917</v>
      </c>
      <c r="C842" s="24"/>
      <c r="D842" s="24"/>
      <c r="E842" s="24"/>
      <c r="F842" s="24"/>
      <c r="G842" s="24"/>
      <c r="H842" s="24"/>
      <c r="I842" s="24"/>
      <c r="J842" s="24"/>
      <c r="K842" s="24"/>
      <c r="L842" s="24"/>
      <c r="M842" s="24"/>
      <c r="N842" s="200"/>
      <c r="O842" s="199"/>
      <c r="P842" s="24"/>
      <c r="Q842" s="24"/>
      <c r="R842" s="398"/>
      <c r="S842" s="398"/>
      <c r="T842" s="398"/>
      <c r="U842" s="398"/>
      <c r="V842" s="398"/>
      <c r="W842" s="398"/>
      <c r="X842" s="398"/>
      <c r="Y842" s="398"/>
      <c r="Z842" s="398"/>
      <c r="AA842" s="398"/>
      <c r="AB842" s="200"/>
      <c r="AO842" s="2" t="s">
        <v>2904</v>
      </c>
    </row>
    <row r="843" spans="1:51" ht="19.95" customHeight="1">
      <c r="A843" s="199"/>
      <c r="B843" s="24"/>
      <c r="C843" s="24"/>
      <c r="D843" s="24"/>
      <c r="E843" s="24"/>
      <c r="F843" s="24"/>
      <c r="G843" s="24"/>
      <c r="H843" s="24"/>
      <c r="I843" s="24"/>
      <c r="J843" s="24"/>
      <c r="K843" s="24"/>
      <c r="L843" s="24"/>
      <c r="M843" s="24"/>
      <c r="N843" s="200"/>
      <c r="O843" s="199"/>
      <c r="P843" s="24"/>
      <c r="Q843" s="24"/>
      <c r="R843" s="398"/>
      <c r="S843" s="398"/>
      <c r="T843" s="398"/>
      <c r="U843" s="398"/>
      <c r="V843" s="398"/>
      <c r="W843" s="398"/>
      <c r="X843" s="398"/>
      <c r="Y843" s="398"/>
      <c r="Z843" s="398"/>
      <c r="AA843" s="398"/>
      <c r="AB843" s="200"/>
    </row>
    <row r="844" spans="1:51" ht="19.95" customHeight="1">
      <c r="A844" s="199"/>
      <c r="B844" s="24"/>
      <c r="C844" s="24"/>
      <c r="D844" s="24"/>
      <c r="E844" s="24"/>
      <c r="F844" s="24"/>
      <c r="G844" s="24"/>
      <c r="H844" s="24"/>
      <c r="I844" s="24"/>
      <c r="J844" s="24"/>
      <c r="K844" s="24"/>
      <c r="L844" s="24"/>
      <c r="M844" s="24"/>
      <c r="N844" s="200"/>
      <c r="O844" s="199"/>
      <c r="P844" s="24"/>
      <c r="Q844" s="24"/>
      <c r="R844" s="398"/>
      <c r="S844" s="398"/>
      <c r="T844" s="398"/>
      <c r="U844" s="398"/>
      <c r="V844" s="398"/>
      <c r="W844" s="398"/>
      <c r="X844" s="398"/>
      <c r="Y844" s="398"/>
      <c r="Z844" s="398"/>
      <c r="AA844" s="398"/>
      <c r="AB844" s="200"/>
    </row>
    <row r="845" spans="1:51" ht="19.95" customHeight="1">
      <c r="A845" s="199"/>
      <c r="B845" s="24"/>
      <c r="C845" s="24"/>
      <c r="D845" s="24"/>
      <c r="E845" s="24"/>
      <c r="F845" s="24"/>
      <c r="G845" s="24"/>
      <c r="H845" s="24"/>
      <c r="I845" s="24"/>
      <c r="J845" s="24"/>
      <c r="K845" s="24"/>
      <c r="L845" s="24"/>
      <c r="M845" s="24"/>
      <c r="N845" s="200"/>
      <c r="O845" s="199"/>
      <c r="P845" s="24"/>
      <c r="Q845" s="24"/>
      <c r="R845" s="398"/>
      <c r="S845" s="398"/>
      <c r="T845" s="398"/>
      <c r="U845" s="398"/>
      <c r="V845" s="398"/>
      <c r="W845" s="398"/>
      <c r="X845" s="398"/>
      <c r="Y845" s="398"/>
      <c r="Z845" s="398"/>
      <c r="AA845" s="398"/>
      <c r="AB845" s="200"/>
    </row>
    <row r="846" spans="1:51" ht="19.95" customHeight="1">
      <c r="A846" s="199"/>
      <c r="B846" s="24"/>
      <c r="C846" s="24"/>
      <c r="D846" s="24"/>
      <c r="E846" s="24"/>
      <c r="F846" s="24"/>
      <c r="G846" s="24"/>
      <c r="H846" s="24"/>
      <c r="I846" s="24"/>
      <c r="J846" s="24"/>
      <c r="K846" s="24"/>
      <c r="L846" s="24"/>
      <c r="M846" s="24"/>
      <c r="N846" s="200"/>
      <c r="O846" s="199"/>
      <c r="P846" s="24"/>
      <c r="Q846" s="24"/>
      <c r="R846" s="398"/>
      <c r="S846" s="398"/>
      <c r="T846" s="398"/>
      <c r="U846" s="398"/>
      <c r="V846" s="398"/>
      <c r="W846" s="398"/>
      <c r="X846" s="398"/>
      <c r="Y846" s="398"/>
      <c r="Z846" s="398"/>
      <c r="AA846" s="398"/>
      <c r="AB846" s="200"/>
      <c r="AI846" s="459">
        <f>IF(OR($I$1270=0,$B$1300=""),AK846,AI849)</f>
        <v>0</v>
      </c>
      <c r="AK846" s="465"/>
    </row>
    <row r="847" spans="1:51" ht="19.95" customHeight="1">
      <c r="A847" s="199"/>
      <c r="B847" s="24"/>
      <c r="C847" s="24"/>
      <c r="D847" s="24"/>
      <c r="E847" s="24"/>
      <c r="F847" s="24"/>
      <c r="G847" s="24"/>
      <c r="H847" s="24"/>
      <c r="I847" s="24"/>
      <c r="J847" s="24"/>
      <c r="K847" s="24"/>
      <c r="L847" s="24"/>
      <c r="M847" s="24"/>
      <c r="N847" s="200"/>
      <c r="O847" s="199"/>
      <c r="P847" s="24"/>
      <c r="Q847" s="24"/>
      <c r="R847" s="398"/>
      <c r="S847" s="398"/>
      <c r="T847" s="398"/>
      <c r="U847" s="398"/>
      <c r="V847" s="398"/>
      <c r="W847" s="398"/>
      <c r="X847" s="398"/>
      <c r="Y847" s="398"/>
      <c r="Z847" s="398"/>
      <c r="AA847" s="398"/>
      <c r="AB847" s="200"/>
      <c r="AI847" s="459"/>
      <c r="AK847" s="465"/>
    </row>
    <row r="848" spans="1:51" ht="19.95" customHeight="1">
      <c r="A848" s="199"/>
      <c r="B848" s="24"/>
      <c r="C848" s="24"/>
      <c r="D848" s="24"/>
      <c r="E848" s="24"/>
      <c r="F848" s="24"/>
      <c r="G848" s="24"/>
      <c r="H848" s="24"/>
      <c r="I848" s="24"/>
      <c r="J848" s="24"/>
      <c r="K848" s="24"/>
      <c r="L848" s="24"/>
      <c r="M848" s="24"/>
      <c r="N848" s="200"/>
      <c r="O848" s="199"/>
      <c r="P848" s="24"/>
      <c r="Q848" s="24"/>
      <c r="R848" s="398"/>
      <c r="S848" s="398"/>
      <c r="T848" s="398"/>
      <c r="U848" s="398"/>
      <c r="V848" s="398"/>
      <c r="W848" s="398"/>
      <c r="X848" s="398"/>
      <c r="Y848" s="398"/>
      <c r="Z848" s="398"/>
      <c r="AA848" s="398"/>
      <c r="AB848" s="200"/>
    </row>
    <row r="849" spans="1:50" ht="19.95" customHeight="1">
      <c r="A849" s="199"/>
      <c r="B849" s="603"/>
      <c r="C849" s="603"/>
      <c r="D849" s="603"/>
      <c r="E849" s="603"/>
      <c r="F849" s="603"/>
      <c r="G849" s="603"/>
      <c r="H849" s="603"/>
      <c r="I849" s="603"/>
      <c r="J849" s="603"/>
      <c r="K849" s="603"/>
      <c r="L849" s="603"/>
      <c r="M849" s="603"/>
      <c r="N849" s="200"/>
      <c r="O849" s="199"/>
      <c r="P849" s="24"/>
      <c r="Q849" s="24"/>
      <c r="R849" s="398"/>
      <c r="S849" s="398"/>
      <c r="T849" s="398"/>
      <c r="U849" s="398"/>
      <c r="V849" s="398"/>
      <c r="W849" s="398"/>
      <c r="X849" s="398"/>
      <c r="Y849" s="398"/>
      <c r="Z849" s="398"/>
      <c r="AA849" s="398"/>
      <c r="AB849" s="200"/>
      <c r="AI849" s="459" t="str">
        <f>CONCATENATE(AK849,AL849,AM849,AN849,AO849,AP849,AQ849,AL850,AM850,AN850,AO850,AP850,AQ850)</f>
        <v/>
      </c>
      <c r="AK849" s="409"/>
    </row>
    <row r="850" spans="1:50" ht="19.95" customHeight="1">
      <c r="A850" s="199"/>
      <c r="B850" s="603"/>
      <c r="C850" s="603"/>
      <c r="D850" s="603"/>
      <c r="E850" s="603"/>
      <c r="F850" s="603"/>
      <c r="G850" s="603"/>
      <c r="H850" s="603"/>
      <c r="I850" s="603"/>
      <c r="J850" s="603"/>
      <c r="K850" s="603"/>
      <c r="L850" s="603"/>
      <c r="M850" s="603"/>
      <c r="N850" s="200"/>
      <c r="O850" s="199"/>
      <c r="P850" s="24"/>
      <c r="Q850" s="24"/>
      <c r="R850" s="398"/>
      <c r="S850" s="398"/>
      <c r="T850" s="398"/>
      <c r="U850" s="398"/>
      <c r="V850" s="398"/>
      <c r="W850" s="398"/>
      <c r="X850" s="398"/>
      <c r="Y850" s="398"/>
      <c r="Z850" s="398"/>
      <c r="AA850" s="398"/>
      <c r="AB850" s="200"/>
    </row>
    <row r="851" spans="1:50" ht="19.95" customHeight="1">
      <c r="A851" s="199"/>
      <c r="B851" s="603"/>
      <c r="C851" s="24"/>
      <c r="D851" s="24"/>
      <c r="E851" s="24"/>
      <c r="F851" s="24"/>
      <c r="G851" s="24"/>
      <c r="H851" s="24"/>
      <c r="I851" s="24"/>
      <c r="J851" s="24"/>
      <c r="K851" s="24"/>
      <c r="L851" s="24"/>
      <c r="M851" s="24"/>
      <c r="N851" s="200"/>
      <c r="O851" s="199"/>
      <c r="P851" s="24"/>
      <c r="Q851" s="24"/>
      <c r="R851" s="398"/>
      <c r="S851" s="398"/>
      <c r="T851" s="398"/>
      <c r="U851" s="398"/>
      <c r="V851" s="398"/>
      <c r="W851" s="398"/>
      <c r="X851" s="398"/>
      <c r="Y851" s="398"/>
      <c r="Z851" s="398"/>
      <c r="AA851" s="398"/>
      <c r="AB851" s="200"/>
    </row>
    <row r="852" spans="1:50" ht="19.95" customHeight="1">
      <c r="A852" s="199"/>
      <c r="B852" s="603"/>
      <c r="C852" s="601"/>
      <c r="D852" s="601"/>
      <c r="E852" s="601"/>
      <c r="F852" s="601"/>
      <c r="G852" s="601"/>
      <c r="H852" s="601"/>
      <c r="I852" s="601"/>
      <c r="J852" s="601"/>
      <c r="K852" s="601"/>
      <c r="L852" s="601"/>
      <c r="M852" s="601"/>
      <c r="N852" s="200"/>
      <c r="O852" s="199"/>
      <c r="P852" s="24"/>
      <c r="Q852" s="24"/>
      <c r="R852" s="398"/>
      <c r="S852" s="398"/>
      <c r="T852" s="398"/>
      <c r="U852" s="398"/>
      <c r="V852" s="398"/>
      <c r="W852" s="398"/>
      <c r="X852" s="398"/>
      <c r="Y852" s="398"/>
      <c r="Z852" s="398"/>
      <c r="AA852" s="398"/>
      <c r="AB852" s="200"/>
    </row>
    <row r="853" spans="1:50" ht="4.95" customHeight="1">
      <c r="A853" s="199"/>
      <c r="B853" s="24"/>
      <c r="C853" s="24"/>
      <c r="D853" s="24"/>
      <c r="E853" s="24"/>
      <c r="F853" s="24"/>
      <c r="G853" s="24"/>
      <c r="H853" s="24"/>
      <c r="I853" s="24"/>
      <c r="J853" s="24"/>
      <c r="K853" s="24"/>
      <c r="L853" s="24"/>
      <c r="M853" s="24"/>
      <c r="N853" s="200"/>
      <c r="O853" s="199"/>
      <c r="P853" s="24"/>
      <c r="Q853" s="24"/>
      <c r="R853" s="398"/>
      <c r="S853" s="398"/>
      <c r="T853" s="398"/>
      <c r="U853" s="398"/>
      <c r="V853" s="398"/>
      <c r="W853" s="398"/>
      <c r="X853" s="398"/>
      <c r="Y853" s="398"/>
      <c r="Z853" s="398"/>
      <c r="AA853" s="398"/>
      <c r="AB853" s="200"/>
    </row>
    <row r="854" spans="1:50" ht="30" customHeight="1">
      <c r="A854" s="210" t="s">
        <v>1148</v>
      </c>
      <c r="B854" s="887" t="s">
        <v>2060</v>
      </c>
      <c r="C854" s="887"/>
      <c r="D854" s="887"/>
      <c r="E854" s="887"/>
      <c r="F854" s="887"/>
      <c r="G854" s="887"/>
      <c r="H854" s="373"/>
      <c r="I854" s="373"/>
      <c r="J854" s="373"/>
      <c r="K854" s="373"/>
      <c r="L854" s="373"/>
      <c r="M854" s="373"/>
      <c r="N854" s="211" t="s">
        <v>1149</v>
      </c>
      <c r="O854" s="372"/>
      <c r="P854" s="374"/>
      <c r="Q854" s="373"/>
      <c r="R854" s="373"/>
      <c r="S854" s="373"/>
      <c r="T854" s="373"/>
      <c r="U854" s="373"/>
      <c r="V854" s="373"/>
      <c r="W854" s="373"/>
      <c r="X854" s="373"/>
      <c r="Y854" s="373"/>
      <c r="Z854" s="373"/>
      <c r="AA854" s="373"/>
      <c r="AB854" s="211" t="s">
        <v>1149</v>
      </c>
      <c r="AK854" s="139"/>
      <c r="AX854" s="139"/>
    </row>
    <row r="855" spans="1:50" ht="10.050000000000001" customHeight="1">
      <c r="A855" s="199"/>
      <c r="B855" s="24"/>
      <c r="C855" s="24"/>
      <c r="D855" s="24"/>
      <c r="E855" s="24"/>
      <c r="F855" s="24"/>
      <c r="G855" s="24"/>
      <c r="H855" s="24"/>
      <c r="I855" s="24"/>
      <c r="J855" s="24"/>
      <c r="K855" s="24"/>
      <c r="L855" s="24"/>
      <c r="M855" s="24"/>
      <c r="N855" s="200"/>
      <c r="O855" s="199"/>
      <c r="P855" s="24"/>
      <c r="Q855" s="24"/>
      <c r="R855" s="398"/>
      <c r="S855" s="398"/>
      <c r="T855" s="398"/>
      <c r="U855" s="398"/>
      <c r="V855" s="398"/>
      <c r="W855" s="398"/>
      <c r="X855" s="398"/>
      <c r="Y855" s="398"/>
      <c r="Z855" s="398"/>
      <c r="AA855" s="398"/>
      <c r="AB855" s="200"/>
      <c r="AK855" s="139"/>
    </row>
    <row r="856" spans="1:50" ht="19.95" customHeight="1">
      <c r="A856" s="199"/>
      <c r="B856" s="719" t="s">
        <v>2918</v>
      </c>
      <c r="C856" s="24"/>
      <c r="D856" s="24"/>
      <c r="E856" s="24"/>
      <c r="F856" s="24"/>
      <c r="G856" s="24"/>
      <c r="H856" s="24"/>
      <c r="I856" s="24"/>
      <c r="J856" s="24"/>
      <c r="K856" s="24"/>
      <c r="L856" s="24"/>
      <c r="M856" s="24"/>
      <c r="N856" s="200"/>
      <c r="O856" s="199"/>
      <c r="P856" s="24"/>
      <c r="Q856" s="24"/>
      <c r="R856" s="398"/>
      <c r="S856" s="398"/>
      <c r="T856" s="398"/>
      <c r="U856" s="398"/>
      <c r="V856" s="398"/>
      <c r="W856" s="398"/>
      <c r="X856" s="398"/>
      <c r="Y856" s="398"/>
      <c r="Z856" s="398"/>
      <c r="AA856" s="398"/>
      <c r="AB856" s="200"/>
      <c r="AK856" s="139"/>
      <c r="AV856" s="139"/>
      <c r="AW856" s="139"/>
    </row>
    <row r="857" spans="1:50" ht="4.95" customHeight="1">
      <c r="A857" s="199"/>
      <c r="B857" s="24"/>
      <c r="C857" s="24"/>
      <c r="D857" s="24"/>
      <c r="E857" s="24"/>
      <c r="F857" s="24"/>
      <c r="G857" s="24"/>
      <c r="H857" s="24"/>
      <c r="I857" s="24"/>
      <c r="J857" s="24"/>
      <c r="K857" s="24"/>
      <c r="L857" s="24"/>
      <c r="M857" s="24"/>
      <c r="N857" s="200"/>
      <c r="O857" s="199"/>
      <c r="P857" s="24"/>
      <c r="Q857" s="24"/>
      <c r="R857" s="398"/>
      <c r="S857" s="398"/>
      <c r="T857" s="398"/>
      <c r="U857" s="398"/>
      <c r="V857" s="398"/>
      <c r="W857" s="398"/>
      <c r="X857" s="398"/>
      <c r="Y857" s="398"/>
      <c r="Z857" s="398"/>
      <c r="AA857" s="398"/>
      <c r="AB857" s="200"/>
      <c r="AK857" s="139"/>
    </row>
    <row r="858" spans="1:50" ht="22.95" customHeight="1">
      <c r="A858" s="199"/>
      <c r="B858" s="603" t="s">
        <v>2939</v>
      </c>
      <c r="C858" s="468"/>
      <c r="D858" s="468"/>
      <c r="E858" s="468"/>
      <c r="F858" s="468"/>
      <c r="G858" s="468"/>
      <c r="H858" s="468"/>
      <c r="I858" s="468"/>
      <c r="J858" s="468"/>
      <c r="K858" s="468"/>
      <c r="L858" s="468"/>
      <c r="M858" s="468"/>
      <c r="N858" s="200"/>
      <c r="O858" s="199"/>
      <c r="P858" s="24"/>
      <c r="Q858" s="24"/>
      <c r="R858" s="398"/>
      <c r="S858" s="398"/>
      <c r="T858" s="398"/>
      <c r="U858" s="398"/>
      <c r="V858" s="398"/>
      <c r="W858" s="398"/>
      <c r="X858" s="398"/>
      <c r="Y858" s="398"/>
      <c r="Z858" s="398"/>
      <c r="AA858" s="398"/>
      <c r="AB858" s="200"/>
      <c r="AK858" s="139"/>
    </row>
    <row r="859" spans="1:50" ht="18" customHeight="1" thickBot="1">
      <c r="A859" s="199"/>
      <c r="B859" s="754" t="str">
        <f>B676</f>
        <v>1: PREP phase</v>
      </c>
      <c r="C859" s="749"/>
      <c r="D859" s="749"/>
      <c r="E859" s="750" t="s">
        <v>2427</v>
      </c>
      <c r="F859" s="750" t="s">
        <v>2428</v>
      </c>
      <c r="G859" s="750" t="s">
        <v>2429</v>
      </c>
      <c r="H859" s="752" t="s">
        <v>2430</v>
      </c>
      <c r="I859" s="752" t="s">
        <v>2431</v>
      </c>
      <c r="J859" s="752" t="s">
        <v>2432</v>
      </c>
      <c r="K859" s="751"/>
      <c r="L859" s="751"/>
      <c r="M859" s="750" t="s">
        <v>2935</v>
      </c>
      <c r="N859" s="200"/>
      <c r="O859" s="199"/>
      <c r="P859" s="24"/>
      <c r="Q859" s="24"/>
      <c r="R859" s="398"/>
      <c r="S859" s="398"/>
      <c r="T859" s="398"/>
      <c r="U859" s="398"/>
      <c r="V859" s="398"/>
      <c r="W859" s="398"/>
      <c r="X859" s="398"/>
      <c r="Y859" s="398"/>
      <c r="Z859" s="398"/>
      <c r="AA859" s="398"/>
      <c r="AB859" s="200"/>
      <c r="AK859" s="139"/>
    </row>
    <row r="860" spans="1:50" ht="16.95" customHeight="1" thickBot="1">
      <c r="A860" s="199"/>
      <c r="B860" s="598" t="s">
        <v>2033</v>
      </c>
      <c r="C860" s="600">
        <f ca="1">TODAY()+14</f>
        <v>44227</v>
      </c>
      <c r="D860" s="24"/>
      <c r="E860" s="744">
        <f>E641</f>
        <v>10</v>
      </c>
      <c r="F860" s="624">
        <f>E642</f>
        <v>0</v>
      </c>
      <c r="G860" s="624">
        <f>E643</f>
        <v>0</v>
      </c>
      <c r="H860" s="624"/>
      <c r="I860" s="624"/>
      <c r="J860" s="624"/>
      <c r="K860" s="622">
        <f>SUM(E860:J860)</f>
        <v>10</v>
      </c>
      <c r="L860" s="623">
        <f>K860</f>
        <v>10</v>
      </c>
      <c r="M860" s="745">
        <f>K644</f>
        <v>0</v>
      </c>
      <c r="N860" s="200"/>
      <c r="O860" s="199"/>
      <c r="P860" s="24"/>
      <c r="Q860" s="24"/>
      <c r="R860" s="398"/>
      <c r="S860" s="398"/>
      <c r="T860" s="398"/>
      <c r="U860" s="398"/>
      <c r="V860" s="398"/>
      <c r="W860" s="398"/>
      <c r="X860" s="398"/>
      <c r="Y860" s="398"/>
      <c r="Z860" s="398"/>
      <c r="AA860" s="398"/>
      <c r="AB860" s="200"/>
      <c r="AK860" s="139"/>
    </row>
    <row r="861" spans="1:50" ht="16.95" customHeight="1">
      <c r="A861" s="199"/>
      <c r="B861" s="598" t="s">
        <v>2034</v>
      </c>
      <c r="C861" s="599">
        <f ca="1">C860+7</f>
        <v>44234</v>
      </c>
      <c r="D861" s="468"/>
      <c r="E861" s="624">
        <f t="shared" ref="E861:G863" si="5">E860</f>
        <v>10</v>
      </c>
      <c r="F861" s="624">
        <f t="shared" si="5"/>
        <v>0</v>
      </c>
      <c r="G861" s="624">
        <f t="shared" si="5"/>
        <v>0</v>
      </c>
      <c r="H861" s="624"/>
      <c r="I861" s="624"/>
      <c r="J861" s="624"/>
      <c r="K861" s="622">
        <f>SUM(E861:J861)</f>
        <v>10</v>
      </c>
      <c r="L861" s="623">
        <f>L860+K861</f>
        <v>20</v>
      </c>
      <c r="M861" s="745">
        <f>M860+K$644</f>
        <v>0</v>
      </c>
      <c r="N861" s="200"/>
      <c r="O861" s="199"/>
      <c r="P861" s="24"/>
      <c r="Q861" s="24"/>
      <c r="R861" s="398"/>
      <c r="S861" s="398"/>
      <c r="T861" s="398"/>
      <c r="U861" s="398"/>
      <c r="V861" s="398"/>
      <c r="W861" s="398"/>
      <c r="X861" s="398"/>
      <c r="Y861" s="398"/>
      <c r="Z861" s="398"/>
      <c r="AA861" s="398"/>
      <c r="AB861" s="200"/>
      <c r="AK861" s="139"/>
    </row>
    <row r="862" spans="1:50" ht="16.95" customHeight="1">
      <c r="A862" s="199"/>
      <c r="B862" s="598" t="s">
        <v>2035</v>
      </c>
      <c r="C862" s="599">
        <f ca="1">C861+7</f>
        <v>44241</v>
      </c>
      <c r="D862" s="468"/>
      <c r="E862" s="624">
        <f t="shared" si="5"/>
        <v>10</v>
      </c>
      <c r="F862" s="624">
        <f t="shared" si="5"/>
        <v>0</v>
      </c>
      <c r="G862" s="624">
        <f t="shared" si="5"/>
        <v>0</v>
      </c>
      <c r="H862" s="624"/>
      <c r="I862" s="624"/>
      <c r="J862" s="624"/>
      <c r="K862" s="622">
        <f>SUM(E862:J862)</f>
        <v>10</v>
      </c>
      <c r="L862" s="623">
        <f>L861+K862</f>
        <v>30</v>
      </c>
      <c r="M862" s="745">
        <f>M861+K$644</f>
        <v>0</v>
      </c>
      <c r="N862" s="200"/>
      <c r="O862" s="199"/>
      <c r="P862" s="24"/>
      <c r="Q862" s="24"/>
      <c r="R862" s="398"/>
      <c r="S862" s="398"/>
      <c r="T862" s="398"/>
      <c r="U862" s="398"/>
      <c r="V862" s="398"/>
      <c r="W862" s="398"/>
      <c r="X862" s="398"/>
      <c r="Y862" s="398"/>
      <c r="Z862" s="398"/>
      <c r="AA862" s="398"/>
      <c r="AB862" s="200"/>
      <c r="AK862" s="139"/>
    </row>
    <row r="863" spans="1:50" ht="16.95" customHeight="1">
      <c r="A863" s="199"/>
      <c r="B863" s="598" t="s">
        <v>2036</v>
      </c>
      <c r="C863" s="599">
        <f ca="1">C862+7</f>
        <v>44248</v>
      </c>
      <c r="D863" s="468"/>
      <c r="E863" s="624">
        <f t="shared" si="5"/>
        <v>10</v>
      </c>
      <c r="F863" s="624">
        <f t="shared" si="5"/>
        <v>0</v>
      </c>
      <c r="G863" s="624">
        <f t="shared" si="5"/>
        <v>0</v>
      </c>
      <c r="H863" s="624"/>
      <c r="I863" s="624"/>
      <c r="J863" s="624"/>
      <c r="K863" s="622">
        <f>SUM(E863:J863)</f>
        <v>10</v>
      </c>
      <c r="L863" s="623">
        <f>L862+K863</f>
        <v>40</v>
      </c>
      <c r="M863" s="745">
        <f>M862+K$644</f>
        <v>0</v>
      </c>
      <c r="N863" s="200"/>
      <c r="O863" s="199"/>
      <c r="P863" s="24"/>
      <c r="Q863" s="24"/>
      <c r="R863" s="398"/>
      <c r="S863" s="398"/>
      <c r="T863" s="398"/>
      <c r="U863" s="398"/>
      <c r="V863" s="398"/>
      <c r="W863" s="398"/>
      <c r="X863" s="398"/>
      <c r="Y863" s="398"/>
      <c r="Z863" s="398"/>
      <c r="AA863" s="398"/>
      <c r="AB863" s="200"/>
      <c r="AK863" s="139"/>
    </row>
    <row r="864" spans="1:50" ht="18" customHeight="1">
      <c r="A864" s="199"/>
      <c r="B864" s="754" t="str">
        <f>B714</f>
        <v>2: BASE phase</v>
      </c>
      <c r="C864" s="749"/>
      <c r="D864" s="749"/>
      <c r="E864" s="750" t="s">
        <v>2427</v>
      </c>
      <c r="F864" s="750" t="s">
        <v>2428</v>
      </c>
      <c r="G864" s="750" t="s">
        <v>2429</v>
      </c>
      <c r="H864" s="750" t="s">
        <v>2430</v>
      </c>
      <c r="I864" s="752" t="s">
        <v>2431</v>
      </c>
      <c r="J864" s="752" t="s">
        <v>2432</v>
      </c>
      <c r="K864" s="751"/>
      <c r="L864" s="751"/>
      <c r="M864" s="750" t="s">
        <v>2935</v>
      </c>
      <c r="N864" s="200"/>
      <c r="O864" s="199"/>
      <c r="P864" s="24"/>
      <c r="Q864" s="24"/>
      <c r="R864" s="398"/>
      <c r="S864" s="398"/>
      <c r="T864" s="398"/>
      <c r="U864" s="398"/>
      <c r="V864" s="398"/>
      <c r="W864" s="398"/>
      <c r="X864" s="398"/>
      <c r="Y864" s="398"/>
      <c r="Z864" s="398"/>
      <c r="AA864" s="398"/>
      <c r="AB864" s="200"/>
      <c r="AK864" s="139"/>
    </row>
    <row r="865" spans="1:37" ht="16.95" customHeight="1">
      <c r="A865" s="199"/>
      <c r="B865" s="598" t="s">
        <v>2037</v>
      </c>
      <c r="C865" s="599">
        <f ca="1">C863+7</f>
        <v>44255</v>
      </c>
      <c r="D865" s="468"/>
      <c r="E865" s="624">
        <f>E647</f>
        <v>10</v>
      </c>
      <c r="F865" s="624">
        <f>E654</f>
        <v>0</v>
      </c>
      <c r="G865" s="624">
        <f>E655</f>
        <v>160</v>
      </c>
      <c r="H865" s="624">
        <f>E656</f>
        <v>60</v>
      </c>
      <c r="I865" s="624"/>
      <c r="J865" s="624"/>
      <c r="K865" s="622">
        <f t="shared" ref="K865:K875" si="6">SUM(E865:J865)</f>
        <v>230</v>
      </c>
      <c r="L865" s="623">
        <f>L863+K865</f>
        <v>270</v>
      </c>
      <c r="M865" s="745">
        <f>M863+K656</f>
        <v>117</v>
      </c>
      <c r="N865" s="200"/>
      <c r="O865" s="199"/>
      <c r="P865" s="24"/>
      <c r="Q865" s="24"/>
      <c r="R865" s="398"/>
      <c r="S865" s="398"/>
      <c r="T865" s="398"/>
      <c r="U865" s="398"/>
      <c r="V865" s="398"/>
      <c r="W865" s="398"/>
      <c r="X865" s="398"/>
      <c r="Y865" s="398"/>
      <c r="Z865" s="398"/>
      <c r="AA865" s="398"/>
      <c r="AB865" s="200"/>
      <c r="AK865" s="139"/>
    </row>
    <row r="866" spans="1:37" ht="16.95" customHeight="1">
      <c r="A866" s="199"/>
      <c r="B866" s="598" t="s">
        <v>2038</v>
      </c>
      <c r="C866" s="599">
        <f ca="1">C865+7</f>
        <v>44262</v>
      </c>
      <c r="D866" s="24"/>
      <c r="E866" s="624">
        <f>E865</f>
        <v>10</v>
      </c>
      <c r="F866" s="624">
        <f>F865</f>
        <v>0</v>
      </c>
      <c r="G866" s="624">
        <f>G865</f>
        <v>160</v>
      </c>
      <c r="H866" s="624">
        <f>H865</f>
        <v>60</v>
      </c>
      <c r="I866" s="468"/>
      <c r="J866" s="468"/>
      <c r="K866" s="622">
        <f t="shared" si="6"/>
        <v>230</v>
      </c>
      <c r="L866" s="623">
        <f t="shared" ref="L866:L875" si="7">L865+K866</f>
        <v>500</v>
      </c>
      <c r="M866" s="745">
        <f>M865+K$656</f>
        <v>234</v>
      </c>
      <c r="N866" s="200"/>
      <c r="O866" s="199"/>
      <c r="P866" s="24"/>
      <c r="Q866" s="24"/>
      <c r="R866" s="398"/>
      <c r="S866" s="398"/>
      <c r="T866" s="398"/>
      <c r="U866" s="398"/>
      <c r="V866" s="398"/>
      <c r="W866" s="398"/>
      <c r="X866" s="398"/>
      <c r="Y866" s="398"/>
      <c r="Z866" s="398"/>
      <c r="AA866" s="398"/>
      <c r="AB866" s="200"/>
      <c r="AK866" s="139"/>
    </row>
    <row r="867" spans="1:37" ht="16.95" customHeight="1">
      <c r="A867" s="199"/>
      <c r="B867" s="598" t="s">
        <v>2039</v>
      </c>
      <c r="C867" s="599">
        <f ca="1">C866+7</f>
        <v>44269</v>
      </c>
      <c r="D867" s="468"/>
      <c r="E867" s="624">
        <f>E866</f>
        <v>10</v>
      </c>
      <c r="F867" s="624">
        <f t="shared" ref="F867:H868" si="8">F866</f>
        <v>0</v>
      </c>
      <c r="G867" s="624">
        <f t="shared" si="8"/>
        <v>160</v>
      </c>
      <c r="H867" s="624">
        <f t="shared" si="8"/>
        <v>60</v>
      </c>
      <c r="I867" s="468"/>
      <c r="J867" s="468"/>
      <c r="K867" s="622">
        <f t="shared" si="6"/>
        <v>230</v>
      </c>
      <c r="L867" s="623">
        <f t="shared" si="7"/>
        <v>730</v>
      </c>
      <c r="M867" s="745">
        <f t="shared" ref="M867:M875" si="9">M866+K$656</f>
        <v>351</v>
      </c>
      <c r="N867" s="200"/>
      <c r="O867" s="199"/>
      <c r="P867" s="24"/>
      <c r="Q867" s="24"/>
      <c r="R867" s="398"/>
      <c r="S867" s="398"/>
      <c r="T867" s="398"/>
      <c r="U867" s="398"/>
      <c r="V867" s="398"/>
      <c r="W867" s="398"/>
      <c r="X867" s="398"/>
      <c r="Y867" s="398"/>
      <c r="Z867" s="398"/>
      <c r="AA867" s="398"/>
      <c r="AB867" s="200"/>
      <c r="AK867" s="139"/>
    </row>
    <row r="868" spans="1:37" ht="16.95" customHeight="1">
      <c r="A868" s="199"/>
      <c r="B868" s="598" t="s">
        <v>2040</v>
      </c>
      <c r="C868" s="599">
        <f ca="1">C867+7</f>
        <v>44276</v>
      </c>
      <c r="D868" s="468"/>
      <c r="E868" s="624">
        <f>E867</f>
        <v>10</v>
      </c>
      <c r="F868" s="624">
        <f t="shared" si="8"/>
        <v>0</v>
      </c>
      <c r="G868" s="624">
        <f t="shared" si="8"/>
        <v>160</v>
      </c>
      <c r="H868" s="624">
        <f t="shared" si="8"/>
        <v>60</v>
      </c>
      <c r="I868" s="24"/>
      <c r="J868" s="24"/>
      <c r="K868" s="622">
        <f t="shared" si="6"/>
        <v>230</v>
      </c>
      <c r="L868" s="623">
        <f t="shared" si="7"/>
        <v>960</v>
      </c>
      <c r="M868" s="745">
        <f t="shared" si="9"/>
        <v>468</v>
      </c>
      <c r="N868" s="200"/>
      <c r="O868" s="199"/>
      <c r="P868" s="24"/>
      <c r="Q868" s="24"/>
      <c r="R868" s="398"/>
      <c r="S868" s="398"/>
      <c r="T868" s="398"/>
      <c r="U868" s="398"/>
      <c r="V868" s="398"/>
      <c r="W868" s="398"/>
      <c r="X868" s="398"/>
      <c r="Y868" s="398"/>
      <c r="Z868" s="398"/>
      <c r="AA868" s="398"/>
      <c r="AB868" s="200"/>
      <c r="AK868" s="139"/>
    </row>
    <row r="869" spans="1:37" ht="18" customHeight="1">
      <c r="A869" s="199"/>
      <c r="B869" s="754" t="str">
        <f>B749</f>
        <v>3: LAUNCH phase</v>
      </c>
      <c r="C869" s="749"/>
      <c r="D869" s="749"/>
      <c r="E869" s="750" t="s">
        <v>2427</v>
      </c>
      <c r="F869" s="750" t="s">
        <v>2428</v>
      </c>
      <c r="G869" s="750" t="s">
        <v>2429</v>
      </c>
      <c r="H869" s="752" t="s">
        <v>2430</v>
      </c>
      <c r="I869" s="752" t="s">
        <v>2431</v>
      </c>
      <c r="J869" s="752" t="s">
        <v>2432</v>
      </c>
      <c r="K869" s="751"/>
      <c r="L869" s="751"/>
      <c r="M869" s="750" t="s">
        <v>2935</v>
      </c>
      <c r="N869" s="200"/>
      <c r="O869" s="199"/>
      <c r="P869" s="24"/>
      <c r="Q869" s="24"/>
      <c r="R869" s="398"/>
      <c r="S869" s="398"/>
      <c r="T869" s="398"/>
      <c r="U869" s="398"/>
      <c r="V869" s="398"/>
      <c r="W869" s="398"/>
      <c r="X869" s="398"/>
      <c r="Y869" s="398"/>
      <c r="Z869" s="398"/>
      <c r="AA869" s="398"/>
      <c r="AB869" s="200"/>
      <c r="AK869" s="139"/>
    </row>
    <row r="870" spans="1:37" ht="16.95" customHeight="1">
      <c r="A870" s="199"/>
      <c r="B870" s="598" t="s">
        <v>2041</v>
      </c>
      <c r="C870" s="599">
        <f ca="1">C868+7</f>
        <v>44283</v>
      </c>
      <c r="D870" s="468"/>
      <c r="E870" s="624">
        <f>E653</f>
        <v>10</v>
      </c>
      <c r="F870" s="624">
        <f>F868</f>
        <v>0</v>
      </c>
      <c r="G870" s="624">
        <f>G868</f>
        <v>160</v>
      </c>
      <c r="H870" s="624">
        <v>100</v>
      </c>
      <c r="I870" s="468"/>
      <c r="J870" s="468"/>
      <c r="K870" s="622">
        <f t="shared" si="6"/>
        <v>270</v>
      </c>
      <c r="L870" s="623">
        <f>L868+K870</f>
        <v>1230</v>
      </c>
      <c r="M870" s="745">
        <f>M868+K$656</f>
        <v>585</v>
      </c>
      <c r="N870" s="200"/>
      <c r="O870" s="199"/>
      <c r="P870" s="24"/>
      <c r="Q870" s="24"/>
      <c r="R870" s="398"/>
      <c r="S870" s="398"/>
      <c r="T870" s="398"/>
      <c r="U870" s="398"/>
      <c r="V870" s="398"/>
      <c r="W870" s="398"/>
      <c r="X870" s="398"/>
      <c r="Y870" s="398"/>
      <c r="Z870" s="398"/>
      <c r="AA870" s="398"/>
      <c r="AB870" s="200"/>
      <c r="AK870" s="139"/>
    </row>
    <row r="871" spans="1:37" ht="16.95" customHeight="1">
      <c r="A871" s="199"/>
      <c r="B871" s="598" t="s">
        <v>2042</v>
      </c>
      <c r="C871" s="599">
        <f ca="1">C870+7</f>
        <v>44290</v>
      </c>
      <c r="D871" s="468"/>
      <c r="E871" s="624">
        <f t="shared" ref="E871:H875" si="10">E870</f>
        <v>10</v>
      </c>
      <c r="F871" s="624">
        <f t="shared" si="10"/>
        <v>0</v>
      </c>
      <c r="G871" s="624">
        <f t="shared" si="10"/>
        <v>160</v>
      </c>
      <c r="H871" s="624">
        <f t="shared" si="10"/>
        <v>100</v>
      </c>
      <c r="I871" s="468"/>
      <c r="J871" s="468"/>
      <c r="K871" s="622">
        <f t="shared" si="6"/>
        <v>270</v>
      </c>
      <c r="L871" s="623">
        <f t="shared" si="7"/>
        <v>1500</v>
      </c>
      <c r="M871" s="745">
        <f t="shared" si="9"/>
        <v>702</v>
      </c>
      <c r="N871" s="200"/>
      <c r="O871" s="199"/>
      <c r="P871" s="24"/>
      <c r="Q871" s="24"/>
      <c r="R871" s="398"/>
      <c r="S871" s="398"/>
      <c r="T871" s="398"/>
      <c r="U871" s="398"/>
      <c r="V871" s="398"/>
      <c r="W871" s="398"/>
      <c r="X871" s="398"/>
      <c r="Y871" s="398"/>
      <c r="Z871" s="398"/>
      <c r="AA871" s="398"/>
      <c r="AB871" s="200"/>
      <c r="AK871" s="139"/>
    </row>
    <row r="872" spans="1:37" ht="16.95" customHeight="1">
      <c r="A872" s="199"/>
      <c r="B872" s="598" t="s">
        <v>2043</v>
      </c>
      <c r="C872" s="599">
        <f ca="1">C871+7</f>
        <v>44297</v>
      </c>
      <c r="D872" s="468"/>
      <c r="E872" s="624">
        <f t="shared" si="10"/>
        <v>10</v>
      </c>
      <c r="F872" s="624">
        <f t="shared" si="10"/>
        <v>0</v>
      </c>
      <c r="G872" s="624">
        <f t="shared" si="10"/>
        <v>160</v>
      </c>
      <c r="H872" s="624">
        <f t="shared" si="10"/>
        <v>100</v>
      </c>
      <c r="I872" s="468"/>
      <c r="J872" s="468"/>
      <c r="K872" s="622">
        <f>SUM(E872:J872)</f>
        <v>270</v>
      </c>
      <c r="L872" s="623">
        <f>L871+K872</f>
        <v>1770</v>
      </c>
      <c r="M872" s="745">
        <f>M871+K$656</f>
        <v>819</v>
      </c>
      <c r="N872" s="200"/>
      <c r="O872" s="199"/>
      <c r="P872" s="24"/>
      <c r="Q872" s="24"/>
      <c r="R872" s="398"/>
      <c r="S872" s="398"/>
      <c r="T872" s="398"/>
      <c r="U872" s="398"/>
      <c r="V872" s="398"/>
      <c r="W872" s="398"/>
      <c r="X872" s="398"/>
      <c r="Y872" s="398"/>
      <c r="Z872" s="398"/>
      <c r="AA872" s="398"/>
      <c r="AB872" s="200"/>
      <c r="AK872" s="139"/>
    </row>
    <row r="873" spans="1:37" ht="16.95" customHeight="1">
      <c r="A873" s="199"/>
      <c r="B873" s="598" t="s">
        <v>2044</v>
      </c>
      <c r="C873" s="599">
        <f ca="1">C872+7</f>
        <v>44304</v>
      </c>
      <c r="D873" s="468"/>
      <c r="E873" s="624">
        <f t="shared" si="10"/>
        <v>10</v>
      </c>
      <c r="F873" s="624">
        <f t="shared" si="10"/>
        <v>0</v>
      </c>
      <c r="G873" s="624">
        <f t="shared" si="10"/>
        <v>160</v>
      </c>
      <c r="H873" s="624">
        <f t="shared" si="10"/>
        <v>100</v>
      </c>
      <c r="I873" s="468"/>
      <c r="J873" s="468"/>
      <c r="K873" s="622">
        <f>SUM(E873:J873)</f>
        <v>270</v>
      </c>
      <c r="L873" s="623">
        <f>L872+K873</f>
        <v>2040</v>
      </c>
      <c r="M873" s="745">
        <f>M872+K$656</f>
        <v>936</v>
      </c>
      <c r="N873" s="200"/>
      <c r="O873" s="199"/>
      <c r="P873" s="24"/>
      <c r="Q873" s="24"/>
      <c r="R873" s="398"/>
      <c r="S873" s="398"/>
      <c r="T873" s="398"/>
      <c r="U873" s="398"/>
      <c r="V873" s="398"/>
      <c r="W873" s="398"/>
      <c r="X873" s="398"/>
      <c r="Y873" s="398"/>
      <c r="Z873" s="398"/>
      <c r="AA873" s="398"/>
      <c r="AB873" s="200"/>
      <c r="AK873" s="139"/>
    </row>
    <row r="874" spans="1:37" ht="16.95" customHeight="1">
      <c r="A874" s="199"/>
      <c r="B874" s="598" t="s">
        <v>2045</v>
      </c>
      <c r="C874" s="599">
        <f ca="1">C873+7</f>
        <v>44311</v>
      </c>
      <c r="D874" s="468"/>
      <c r="E874" s="624">
        <f t="shared" si="10"/>
        <v>10</v>
      </c>
      <c r="F874" s="624">
        <f t="shared" si="10"/>
        <v>0</v>
      </c>
      <c r="G874" s="624">
        <f t="shared" si="10"/>
        <v>160</v>
      </c>
      <c r="H874" s="624">
        <f t="shared" si="10"/>
        <v>100</v>
      </c>
      <c r="I874" s="468"/>
      <c r="J874" s="468"/>
      <c r="K874" s="622">
        <f>SUM(E874:J874)</f>
        <v>270</v>
      </c>
      <c r="L874" s="623">
        <f>L873+K874</f>
        <v>2310</v>
      </c>
      <c r="M874" s="745">
        <f>M873+K$656</f>
        <v>1053</v>
      </c>
      <c r="N874" s="200"/>
      <c r="O874" s="199"/>
      <c r="P874" s="24"/>
      <c r="Q874" s="24"/>
      <c r="R874" s="398"/>
      <c r="S874" s="398"/>
      <c r="T874" s="398"/>
      <c r="U874" s="398"/>
      <c r="V874" s="398"/>
      <c r="W874" s="398"/>
      <c r="X874" s="398"/>
      <c r="Y874" s="398"/>
      <c r="Z874" s="398"/>
      <c r="AA874" s="398"/>
      <c r="AB874" s="200"/>
      <c r="AK874" s="139"/>
    </row>
    <row r="875" spans="1:37" ht="16.95" customHeight="1">
      <c r="A875" s="199"/>
      <c r="B875" s="598" t="s">
        <v>2046</v>
      </c>
      <c r="C875" s="599">
        <f ca="1">C874+7</f>
        <v>44318</v>
      </c>
      <c r="D875" s="468"/>
      <c r="E875" s="624">
        <f t="shared" si="10"/>
        <v>10</v>
      </c>
      <c r="F875" s="624">
        <f t="shared" si="10"/>
        <v>0</v>
      </c>
      <c r="G875" s="624">
        <f t="shared" si="10"/>
        <v>160</v>
      </c>
      <c r="H875" s="624">
        <f t="shared" si="10"/>
        <v>100</v>
      </c>
      <c r="I875" s="468"/>
      <c r="J875" s="468"/>
      <c r="K875" s="622">
        <f t="shared" si="6"/>
        <v>270</v>
      </c>
      <c r="L875" s="623">
        <f t="shared" si="7"/>
        <v>2580</v>
      </c>
      <c r="M875" s="745">
        <f t="shared" si="9"/>
        <v>1170</v>
      </c>
      <c r="N875" s="200"/>
      <c r="O875" s="199"/>
      <c r="P875" s="24"/>
      <c r="Q875" s="24"/>
      <c r="R875" s="398"/>
      <c r="S875" s="398"/>
      <c r="T875" s="398"/>
      <c r="U875" s="398"/>
      <c r="V875" s="398"/>
      <c r="W875" s="398"/>
      <c r="X875" s="398"/>
      <c r="Y875" s="398"/>
      <c r="Z875" s="398"/>
      <c r="AA875" s="398"/>
      <c r="AB875" s="200"/>
      <c r="AK875" s="139"/>
    </row>
    <row r="876" spans="1:37" ht="18" customHeight="1">
      <c r="A876" s="199"/>
      <c r="B876" s="754" t="str">
        <f>B783</f>
        <v>4. GROWTH phase</v>
      </c>
      <c r="C876" s="749"/>
      <c r="D876" s="749"/>
      <c r="E876" s="750" t="s">
        <v>2427</v>
      </c>
      <c r="F876" s="750" t="s">
        <v>2428</v>
      </c>
      <c r="G876" s="750" t="s">
        <v>2429</v>
      </c>
      <c r="H876" s="750" t="s">
        <v>2430</v>
      </c>
      <c r="I876" s="750" t="s">
        <v>2431</v>
      </c>
      <c r="J876" s="752" t="s">
        <v>2432</v>
      </c>
      <c r="K876" s="751"/>
      <c r="L876" s="751"/>
      <c r="M876" s="750" t="s">
        <v>2935</v>
      </c>
      <c r="N876" s="200"/>
      <c r="O876" s="199"/>
      <c r="P876" s="24"/>
      <c r="Q876" s="24"/>
      <c r="R876" s="398"/>
      <c r="S876" s="398"/>
      <c r="T876" s="398"/>
      <c r="U876" s="398"/>
      <c r="V876" s="398"/>
      <c r="W876" s="398"/>
      <c r="X876" s="398"/>
      <c r="Y876" s="398"/>
      <c r="Z876" s="398"/>
      <c r="AA876" s="398"/>
      <c r="AB876" s="200"/>
      <c r="AK876" s="139"/>
    </row>
    <row r="877" spans="1:37" ht="16.95" customHeight="1">
      <c r="A877" s="199"/>
      <c r="B877" s="598" t="s">
        <v>2047</v>
      </c>
      <c r="C877" s="599">
        <f ca="1">C875+7</f>
        <v>44325</v>
      </c>
      <c r="D877" s="24"/>
      <c r="E877" s="624">
        <f>E660</f>
        <v>10</v>
      </c>
      <c r="F877" s="624">
        <f>E661</f>
        <v>0</v>
      </c>
      <c r="G877" s="624">
        <f>E662</f>
        <v>120</v>
      </c>
      <c r="H877" s="624">
        <f>H875</f>
        <v>100</v>
      </c>
      <c r="I877" s="624">
        <f>E664</f>
        <v>80</v>
      </c>
      <c r="J877" s="624"/>
      <c r="K877" s="622">
        <f t="shared" ref="K877:K885" si="11">SUM(E877:J877)</f>
        <v>310</v>
      </c>
      <c r="L877" s="623">
        <f>L875+K877</f>
        <v>2890</v>
      </c>
      <c r="M877" s="745">
        <f>M875+K663</f>
        <v>1233</v>
      </c>
      <c r="N877" s="200"/>
      <c r="O877" s="199"/>
      <c r="P877" s="24"/>
      <c r="Q877" s="24"/>
      <c r="R877" s="398"/>
      <c r="S877" s="398"/>
      <c r="T877" s="398"/>
      <c r="U877" s="398"/>
      <c r="V877" s="398"/>
      <c r="W877" s="398"/>
      <c r="X877" s="398"/>
      <c r="Y877" s="398"/>
      <c r="Z877" s="398"/>
      <c r="AA877" s="398"/>
      <c r="AB877" s="200"/>
      <c r="AK877" s="139"/>
    </row>
    <row r="878" spans="1:37" ht="16.95" customHeight="1">
      <c r="A878" s="199"/>
      <c r="B878" s="598" t="s">
        <v>2048</v>
      </c>
      <c r="C878" s="599">
        <f t="shared" ref="C878:C885" ca="1" si="12">C877+7</f>
        <v>44332</v>
      </c>
      <c r="D878" s="24"/>
      <c r="E878" s="624">
        <f>E877</f>
        <v>10</v>
      </c>
      <c r="F878" s="624">
        <f>F877</f>
        <v>0</v>
      </c>
      <c r="G878" s="624">
        <f>G877</f>
        <v>120</v>
      </c>
      <c r="H878" s="624">
        <f>H877</f>
        <v>100</v>
      </c>
      <c r="I878" s="624">
        <f>I877</f>
        <v>80</v>
      </c>
      <c r="J878" s="24"/>
      <c r="K878" s="622">
        <f t="shared" si="11"/>
        <v>310</v>
      </c>
      <c r="L878" s="623">
        <f t="shared" ref="L878:L885" si="13">L877+K878</f>
        <v>3200</v>
      </c>
      <c r="M878" s="745">
        <f>M877+K$663</f>
        <v>1296</v>
      </c>
      <c r="N878" s="200"/>
      <c r="O878" s="199"/>
      <c r="P878" s="24"/>
      <c r="Q878" s="24"/>
      <c r="R878" s="398"/>
      <c r="S878" s="398"/>
      <c r="T878" s="398"/>
      <c r="U878" s="398"/>
      <c r="V878" s="398"/>
      <c r="W878" s="398"/>
      <c r="X878" s="398"/>
      <c r="Y878" s="398"/>
      <c r="Z878" s="398"/>
      <c r="AA878" s="398"/>
      <c r="AB878" s="200"/>
      <c r="AK878" s="139"/>
    </row>
    <row r="879" spans="1:37" ht="16.95" customHeight="1">
      <c r="A879" s="199"/>
      <c r="B879" s="598" t="s">
        <v>2049</v>
      </c>
      <c r="C879" s="599">
        <f t="shared" ca="1" si="12"/>
        <v>44339</v>
      </c>
      <c r="D879" s="24"/>
      <c r="E879" s="624">
        <f t="shared" ref="E879:E885" si="14">E878</f>
        <v>10</v>
      </c>
      <c r="F879" s="624">
        <f t="shared" ref="F879:I880" si="15">F878</f>
        <v>0</v>
      </c>
      <c r="G879" s="624">
        <f t="shared" si="15"/>
        <v>120</v>
      </c>
      <c r="H879" s="624">
        <f t="shared" si="15"/>
        <v>100</v>
      </c>
      <c r="I879" s="624">
        <f t="shared" si="15"/>
        <v>80</v>
      </c>
      <c r="J879" s="24"/>
      <c r="K879" s="622">
        <f t="shared" si="11"/>
        <v>310</v>
      </c>
      <c r="L879" s="623">
        <f t="shared" si="13"/>
        <v>3510</v>
      </c>
      <c r="M879" s="745">
        <f t="shared" ref="M879:M885" si="16">M878+K$663</f>
        <v>1359</v>
      </c>
      <c r="N879" s="200"/>
      <c r="O879" s="199"/>
      <c r="P879" s="24"/>
      <c r="Q879" s="24"/>
      <c r="R879" s="398"/>
      <c r="S879" s="398"/>
      <c r="T879" s="398"/>
      <c r="U879" s="398"/>
      <c r="V879" s="398"/>
      <c r="W879" s="398"/>
      <c r="X879" s="398"/>
      <c r="Y879" s="398"/>
      <c r="Z879" s="398"/>
      <c r="AA879" s="398"/>
      <c r="AB879" s="200"/>
      <c r="AK879" s="139"/>
    </row>
    <row r="880" spans="1:37" ht="16.95" customHeight="1">
      <c r="A880" s="199"/>
      <c r="B880" s="598" t="s">
        <v>2050</v>
      </c>
      <c r="C880" s="599">
        <f t="shared" ca="1" si="12"/>
        <v>44346</v>
      </c>
      <c r="D880" s="24"/>
      <c r="E880" s="624">
        <f t="shared" si="14"/>
        <v>10</v>
      </c>
      <c r="F880" s="624">
        <f t="shared" si="15"/>
        <v>0</v>
      </c>
      <c r="G880" s="624">
        <f t="shared" si="15"/>
        <v>120</v>
      </c>
      <c r="H880" s="624">
        <f t="shared" si="15"/>
        <v>100</v>
      </c>
      <c r="I880" s="624">
        <f t="shared" si="15"/>
        <v>80</v>
      </c>
      <c r="J880" s="24"/>
      <c r="K880" s="622">
        <f t="shared" si="11"/>
        <v>310</v>
      </c>
      <c r="L880" s="623">
        <f t="shared" si="13"/>
        <v>3820</v>
      </c>
      <c r="M880" s="745">
        <f t="shared" si="16"/>
        <v>1422</v>
      </c>
      <c r="N880" s="200"/>
      <c r="O880" s="199"/>
      <c r="P880" s="24"/>
      <c r="Q880" s="24"/>
      <c r="R880" s="398"/>
      <c r="S880" s="398"/>
      <c r="T880" s="398"/>
      <c r="U880" s="398"/>
      <c r="V880" s="398"/>
      <c r="W880" s="398"/>
      <c r="X880" s="398"/>
      <c r="Y880" s="398"/>
      <c r="Z880" s="398"/>
      <c r="AA880" s="398"/>
      <c r="AB880" s="200"/>
      <c r="AK880" s="139"/>
    </row>
    <row r="881" spans="1:37" ht="16.95" customHeight="1">
      <c r="A881" s="199"/>
      <c r="B881" s="598" t="s">
        <v>2051</v>
      </c>
      <c r="C881" s="599">
        <f t="shared" ca="1" si="12"/>
        <v>44353</v>
      </c>
      <c r="D881" s="24"/>
      <c r="E881" s="624">
        <f t="shared" si="14"/>
        <v>10</v>
      </c>
      <c r="F881" s="624">
        <f t="shared" ref="F881:G885" si="17">F880</f>
        <v>0</v>
      </c>
      <c r="G881" s="624">
        <f t="shared" si="17"/>
        <v>120</v>
      </c>
      <c r="H881" s="624">
        <v>120</v>
      </c>
      <c r="I881" s="624">
        <f>I880</f>
        <v>80</v>
      </c>
      <c r="J881" s="24"/>
      <c r="K881" s="622">
        <f t="shared" si="11"/>
        <v>330</v>
      </c>
      <c r="L881" s="623">
        <f t="shared" si="13"/>
        <v>4150</v>
      </c>
      <c r="M881" s="745">
        <f t="shared" si="16"/>
        <v>1485</v>
      </c>
      <c r="N881" s="200"/>
      <c r="O881" s="199"/>
      <c r="P881" s="24"/>
      <c r="Q881" s="24"/>
      <c r="R881" s="398"/>
      <c r="S881" s="398"/>
      <c r="T881" s="398"/>
      <c r="U881" s="398"/>
      <c r="V881" s="398"/>
      <c r="W881" s="398"/>
      <c r="X881" s="398"/>
      <c r="Y881" s="398"/>
      <c r="Z881" s="398"/>
      <c r="AA881" s="398"/>
      <c r="AB881" s="200"/>
      <c r="AK881" s="139"/>
    </row>
    <row r="882" spans="1:37" ht="16.95" customHeight="1">
      <c r="A882" s="199"/>
      <c r="B882" s="598" t="s">
        <v>2052</v>
      </c>
      <c r="C882" s="599">
        <f t="shared" ca="1" si="12"/>
        <v>44360</v>
      </c>
      <c r="D882" s="24"/>
      <c r="E882" s="624">
        <f t="shared" si="14"/>
        <v>10</v>
      </c>
      <c r="F882" s="624">
        <f t="shared" si="17"/>
        <v>0</v>
      </c>
      <c r="G882" s="624">
        <f t="shared" si="17"/>
        <v>120</v>
      </c>
      <c r="H882" s="624">
        <v>121</v>
      </c>
      <c r="I882" s="624">
        <f>I881</f>
        <v>80</v>
      </c>
      <c r="J882" s="24"/>
      <c r="K882" s="622">
        <f>SUM(E882:J882)</f>
        <v>331</v>
      </c>
      <c r="L882" s="623">
        <f>L881+K882</f>
        <v>4481</v>
      </c>
      <c r="M882" s="745">
        <f>M881+K$663</f>
        <v>1548</v>
      </c>
      <c r="N882" s="200"/>
      <c r="O882" s="199"/>
      <c r="P882" s="24"/>
      <c r="Q882" s="24"/>
      <c r="R882" s="398"/>
      <c r="S882" s="398"/>
      <c r="T882" s="398"/>
      <c r="U882" s="398"/>
      <c r="V882" s="398"/>
      <c r="W882" s="398"/>
      <c r="X882" s="398"/>
      <c r="Y882" s="398"/>
      <c r="Z882" s="398"/>
      <c r="AA882" s="398"/>
      <c r="AB882" s="200"/>
      <c r="AK882" s="139"/>
    </row>
    <row r="883" spans="1:37" ht="16.95" customHeight="1">
      <c r="A883" s="199"/>
      <c r="B883" s="598" t="s">
        <v>2053</v>
      </c>
      <c r="C883" s="599">
        <f t="shared" ca="1" si="12"/>
        <v>44367</v>
      </c>
      <c r="D883" s="468"/>
      <c r="E883" s="624">
        <f t="shared" si="14"/>
        <v>10</v>
      </c>
      <c r="F883" s="624">
        <f t="shared" si="17"/>
        <v>0</v>
      </c>
      <c r="G883" s="624">
        <f t="shared" si="17"/>
        <v>120</v>
      </c>
      <c r="H883" s="624">
        <f>H882</f>
        <v>121</v>
      </c>
      <c r="I883" s="624">
        <f>I882</f>
        <v>80</v>
      </c>
      <c r="J883" s="24"/>
      <c r="K883" s="622">
        <f t="shared" si="11"/>
        <v>331</v>
      </c>
      <c r="L883" s="623">
        <f t="shared" si="13"/>
        <v>4812</v>
      </c>
      <c r="M883" s="745">
        <f t="shared" si="16"/>
        <v>1611</v>
      </c>
      <c r="N883" s="200"/>
      <c r="O883" s="199"/>
      <c r="P883" s="24"/>
      <c r="Q883" s="24"/>
      <c r="R883" s="398"/>
      <c r="S883" s="398"/>
      <c r="T883" s="398"/>
      <c r="U883" s="398"/>
      <c r="V883" s="398"/>
      <c r="W883" s="398"/>
      <c r="X883" s="398"/>
      <c r="Y883" s="398"/>
      <c r="Z883" s="398"/>
      <c r="AA883" s="398"/>
      <c r="AB883" s="200"/>
      <c r="AK883" s="139"/>
    </row>
    <row r="884" spans="1:37" ht="16.95" customHeight="1">
      <c r="A884" s="199"/>
      <c r="B884" s="598" t="s">
        <v>2054</v>
      </c>
      <c r="C884" s="599">
        <f t="shared" ca="1" si="12"/>
        <v>44374</v>
      </c>
      <c r="D884" s="468"/>
      <c r="E884" s="624">
        <f t="shared" si="14"/>
        <v>10</v>
      </c>
      <c r="F884" s="624">
        <f t="shared" si="17"/>
        <v>0</v>
      </c>
      <c r="G884" s="624">
        <f t="shared" si="17"/>
        <v>120</v>
      </c>
      <c r="H884" s="624">
        <f>H883</f>
        <v>121</v>
      </c>
      <c r="I884" s="624">
        <f>I883</f>
        <v>80</v>
      </c>
      <c r="J884" s="468"/>
      <c r="K884" s="622">
        <f t="shared" si="11"/>
        <v>331</v>
      </c>
      <c r="L884" s="623">
        <f t="shared" si="13"/>
        <v>5143</v>
      </c>
      <c r="M884" s="745">
        <f t="shared" si="16"/>
        <v>1674</v>
      </c>
      <c r="N884" s="200"/>
      <c r="O884" s="199"/>
      <c r="P884" s="24"/>
      <c r="Q884" s="24"/>
      <c r="R884" s="398"/>
      <c r="S884" s="398"/>
      <c r="T884" s="398"/>
      <c r="U884" s="398"/>
      <c r="V884" s="398"/>
      <c r="W884" s="398"/>
      <c r="X884" s="398"/>
      <c r="Y884" s="398"/>
      <c r="Z884" s="398"/>
      <c r="AA884" s="398"/>
      <c r="AB884" s="200"/>
    </row>
    <row r="885" spans="1:37" ht="16.95" customHeight="1">
      <c r="A885" s="199"/>
      <c r="B885" s="598" t="s">
        <v>2055</v>
      </c>
      <c r="C885" s="599">
        <f t="shared" ca="1" si="12"/>
        <v>44381</v>
      </c>
      <c r="D885" s="468"/>
      <c r="E885" s="624">
        <f t="shared" si="14"/>
        <v>10</v>
      </c>
      <c r="F885" s="624">
        <f t="shared" si="17"/>
        <v>0</v>
      </c>
      <c r="G885" s="624">
        <f t="shared" si="17"/>
        <v>120</v>
      </c>
      <c r="H885" s="624">
        <f>H884</f>
        <v>121</v>
      </c>
      <c r="I885" s="624">
        <f>I884</f>
        <v>80</v>
      </c>
      <c r="J885" s="468"/>
      <c r="K885" s="622">
        <f t="shared" si="11"/>
        <v>331</v>
      </c>
      <c r="L885" s="623">
        <f t="shared" si="13"/>
        <v>5474</v>
      </c>
      <c r="M885" s="745">
        <f t="shared" si="16"/>
        <v>1737</v>
      </c>
      <c r="N885" s="200"/>
      <c r="O885" s="199"/>
      <c r="P885" s="24"/>
      <c r="Q885" s="24"/>
      <c r="R885" s="398"/>
      <c r="S885" s="398"/>
      <c r="T885" s="398"/>
      <c r="U885" s="398"/>
      <c r="V885" s="398"/>
      <c r="W885" s="398"/>
      <c r="X885" s="398"/>
      <c r="Y885" s="398"/>
      <c r="Z885" s="398"/>
      <c r="AA885" s="398"/>
      <c r="AB885" s="200"/>
    </row>
    <row r="886" spans="1:37" ht="18" customHeight="1">
      <c r="A886" s="199"/>
      <c r="B886" s="754" t="str">
        <f>B819</f>
        <v>5. CAUSE phase</v>
      </c>
      <c r="C886" s="755"/>
      <c r="D886" s="755"/>
      <c r="E886" s="750" t="s">
        <v>2427</v>
      </c>
      <c r="F886" s="750" t="s">
        <v>2428</v>
      </c>
      <c r="G886" s="750" t="s">
        <v>2429</v>
      </c>
      <c r="H886" s="750" t="s">
        <v>2430</v>
      </c>
      <c r="I886" s="750" t="s">
        <v>2431</v>
      </c>
      <c r="J886" s="750" t="s">
        <v>2432</v>
      </c>
      <c r="K886" s="751"/>
      <c r="L886" s="751"/>
      <c r="M886" s="750" t="s">
        <v>2935</v>
      </c>
      <c r="N886" s="200"/>
      <c r="O886" s="199"/>
      <c r="P886" s="24"/>
      <c r="Q886" s="24"/>
      <c r="R886" s="398"/>
      <c r="S886" s="398"/>
      <c r="T886" s="398"/>
      <c r="U886" s="398"/>
      <c r="V886" s="398"/>
      <c r="W886" s="398"/>
      <c r="X886" s="398"/>
      <c r="Y886" s="398"/>
      <c r="Z886" s="398"/>
      <c r="AA886" s="398"/>
      <c r="AB886" s="200"/>
    </row>
    <row r="887" spans="1:37" ht="16.95" customHeight="1">
      <c r="A887" s="199"/>
      <c r="B887" s="598" t="s">
        <v>2056</v>
      </c>
      <c r="C887" s="599">
        <f ca="1">C885+7</f>
        <v>44388</v>
      </c>
      <c r="D887" s="468"/>
      <c r="E887" s="624">
        <f>E668</f>
        <v>10</v>
      </c>
      <c r="F887" s="624">
        <f>E669</f>
        <v>0</v>
      </c>
      <c r="G887" s="624">
        <f>E670</f>
        <v>360</v>
      </c>
      <c r="H887" s="624">
        <f>E671</f>
        <v>60</v>
      </c>
      <c r="I887" s="624">
        <f>E672</f>
        <v>160</v>
      </c>
      <c r="J887" s="624">
        <f>E673</f>
        <v>540</v>
      </c>
      <c r="K887" s="622">
        <f>SUM(E887:J887)</f>
        <v>1130</v>
      </c>
      <c r="L887" s="623">
        <f>L885+K887</f>
        <v>6604</v>
      </c>
      <c r="M887" s="745">
        <f>M885+K887</f>
        <v>2867</v>
      </c>
      <c r="N887" s="200"/>
      <c r="O887" s="199"/>
      <c r="P887" s="24"/>
      <c r="Q887" s="24"/>
      <c r="R887" s="398"/>
      <c r="S887" s="398"/>
      <c r="T887" s="398"/>
      <c r="U887" s="398"/>
      <c r="V887" s="398"/>
      <c r="W887" s="398"/>
      <c r="X887" s="398"/>
      <c r="Y887" s="398"/>
      <c r="Z887" s="398"/>
      <c r="AA887" s="398"/>
      <c r="AB887" s="200"/>
    </row>
    <row r="888" spans="1:37" ht="16.95" customHeight="1">
      <c r="A888" s="199"/>
      <c r="B888" s="598" t="s">
        <v>2057</v>
      </c>
      <c r="C888" s="599">
        <f ca="1">C887+7</f>
        <v>44395</v>
      </c>
      <c r="D888" s="468"/>
      <c r="E888" s="624">
        <f t="shared" ref="E888:J888" si="18">E887</f>
        <v>10</v>
      </c>
      <c r="F888" s="624">
        <f t="shared" si="18"/>
        <v>0</v>
      </c>
      <c r="G888" s="624">
        <f t="shared" si="18"/>
        <v>360</v>
      </c>
      <c r="H888" s="624">
        <f t="shared" si="18"/>
        <v>60</v>
      </c>
      <c r="I888" s="624">
        <f t="shared" si="18"/>
        <v>160</v>
      </c>
      <c r="J888" s="624">
        <f t="shared" si="18"/>
        <v>540</v>
      </c>
      <c r="K888" s="622">
        <f>SUM(E888:J888)</f>
        <v>1130</v>
      </c>
      <c r="L888" s="623">
        <f>L887+K888</f>
        <v>7734</v>
      </c>
      <c r="M888" s="745">
        <f>M887+K671</f>
        <v>3524</v>
      </c>
      <c r="N888" s="200"/>
      <c r="O888" s="199"/>
      <c r="P888" s="24"/>
      <c r="Q888" s="24"/>
      <c r="R888" s="398"/>
      <c r="S888" s="398"/>
      <c r="T888" s="398"/>
      <c r="U888" s="398"/>
      <c r="V888" s="398"/>
      <c r="W888" s="398"/>
      <c r="X888" s="398"/>
      <c r="Y888" s="398"/>
      <c r="Z888" s="398"/>
      <c r="AA888" s="398"/>
      <c r="AB888" s="200"/>
    </row>
    <row r="889" spans="1:37" ht="16.95" customHeight="1">
      <c r="A889" s="199"/>
      <c r="B889" s="598" t="s">
        <v>2058</v>
      </c>
      <c r="C889" s="599">
        <f ca="1">C888+7</f>
        <v>44402</v>
      </c>
      <c r="D889" s="468"/>
      <c r="E889" s="624">
        <f t="shared" ref="E889:J890" si="19">E888</f>
        <v>10</v>
      </c>
      <c r="F889" s="624">
        <f t="shared" si="19"/>
        <v>0</v>
      </c>
      <c r="G889" s="624">
        <f t="shared" si="19"/>
        <v>360</v>
      </c>
      <c r="H889" s="624">
        <f t="shared" si="19"/>
        <v>60</v>
      </c>
      <c r="I889" s="624">
        <f t="shared" si="19"/>
        <v>160</v>
      </c>
      <c r="J889" s="624">
        <f t="shared" si="19"/>
        <v>540</v>
      </c>
      <c r="K889" s="622">
        <f>SUM(E889:J889)</f>
        <v>1130</v>
      </c>
      <c r="L889" s="623">
        <f>L888+K889</f>
        <v>8864</v>
      </c>
      <c r="M889" s="745">
        <f>M888+K671</f>
        <v>4181</v>
      </c>
      <c r="N889" s="200"/>
      <c r="O889" s="199"/>
      <c r="P889" s="24"/>
      <c r="Q889" s="24"/>
      <c r="R889" s="398"/>
      <c r="S889" s="398"/>
      <c r="T889" s="398"/>
      <c r="U889" s="398"/>
      <c r="V889" s="398"/>
      <c r="W889" s="398"/>
      <c r="X889" s="398"/>
      <c r="Y889" s="398"/>
      <c r="Z889" s="398"/>
      <c r="AA889" s="398"/>
      <c r="AB889" s="200"/>
    </row>
    <row r="890" spans="1:37" ht="16.95" customHeight="1">
      <c r="A890" s="199"/>
      <c r="B890" s="598" t="s">
        <v>2059</v>
      </c>
      <c r="C890" s="599">
        <f ca="1">C889+7</f>
        <v>44409</v>
      </c>
      <c r="D890" s="468"/>
      <c r="E890" s="624">
        <f t="shared" si="19"/>
        <v>10</v>
      </c>
      <c r="F890" s="624">
        <f t="shared" si="19"/>
        <v>0</v>
      </c>
      <c r="G890" s="624">
        <f t="shared" si="19"/>
        <v>360</v>
      </c>
      <c r="H890" s="624">
        <f t="shared" si="19"/>
        <v>60</v>
      </c>
      <c r="I890" s="624">
        <f t="shared" si="19"/>
        <v>160</v>
      </c>
      <c r="J890" s="624">
        <f t="shared" si="19"/>
        <v>540</v>
      </c>
      <c r="K890" s="622">
        <f>SUM(E890:J890)</f>
        <v>1130</v>
      </c>
      <c r="L890" s="623">
        <f>L889+K890</f>
        <v>9994</v>
      </c>
      <c r="M890" s="745">
        <f>M889+K671</f>
        <v>4838</v>
      </c>
      <c r="N890" s="200"/>
      <c r="O890" s="199"/>
      <c r="P890" s="24"/>
      <c r="Q890" s="24"/>
      <c r="R890" s="398"/>
      <c r="S890" s="398"/>
      <c r="T890" s="398"/>
      <c r="U890" s="398"/>
      <c r="V890" s="398"/>
      <c r="W890" s="398"/>
      <c r="X890" s="398"/>
      <c r="Y890" s="398"/>
      <c r="Z890" s="398"/>
      <c r="AA890" s="398"/>
      <c r="AB890" s="200"/>
    </row>
    <row r="891" spans="1:37" ht="25.05" customHeight="1">
      <c r="A891" s="199"/>
      <c r="B891" s="603" t="s">
        <v>2938</v>
      </c>
      <c r="C891" s="468"/>
      <c r="D891" s="468"/>
      <c r="E891" s="468"/>
      <c r="F891" s="468"/>
      <c r="G891" s="468"/>
      <c r="H891" s="468"/>
      <c r="I891" s="468"/>
      <c r="J891" s="468"/>
      <c r="K891" s="468"/>
      <c r="L891" s="468"/>
      <c r="M891" s="468"/>
      <c r="N891" s="200"/>
      <c r="O891" s="199"/>
      <c r="P891" s="24"/>
      <c r="Q891" s="24"/>
      <c r="R891" s="398"/>
      <c r="S891" s="398"/>
      <c r="T891" s="398"/>
      <c r="U891" s="398"/>
      <c r="V891" s="398"/>
      <c r="W891" s="398"/>
      <c r="X891" s="398"/>
      <c r="Y891" s="398"/>
      <c r="Z891" s="398"/>
      <c r="AA891" s="398"/>
      <c r="AB891" s="200"/>
    </row>
    <row r="892" spans="1:37" ht="10.050000000000001" customHeight="1">
      <c r="A892" s="199"/>
      <c r="B892" s="24"/>
      <c r="C892" s="24"/>
      <c r="D892" s="24"/>
      <c r="E892" s="24"/>
      <c r="F892" s="24"/>
      <c r="G892" s="24"/>
      <c r="H892" s="24"/>
      <c r="I892" s="24"/>
      <c r="J892" s="24"/>
      <c r="K892" s="24"/>
      <c r="L892" s="24"/>
      <c r="M892" s="24"/>
      <c r="N892" s="200"/>
      <c r="O892" s="199"/>
      <c r="P892" s="24"/>
      <c r="Q892" s="24"/>
      <c r="R892" s="398"/>
      <c r="S892" s="398"/>
      <c r="T892" s="398"/>
      <c r="U892" s="398"/>
      <c r="V892" s="398"/>
      <c r="W892" s="398"/>
      <c r="X892" s="398"/>
      <c r="Y892" s="398"/>
      <c r="Z892" s="398"/>
      <c r="AA892" s="398"/>
      <c r="AB892" s="200"/>
    </row>
    <row r="893" spans="1:37" ht="30" customHeight="1">
      <c r="A893" s="210" t="s">
        <v>1148</v>
      </c>
      <c r="B893" s="399" t="s">
        <v>3159</v>
      </c>
      <c r="C893" s="582"/>
      <c r="D893" s="582"/>
      <c r="E893" s="583"/>
      <c r="F893" s="584"/>
      <c r="G893" s="582"/>
      <c r="H893" s="582"/>
      <c r="I893" s="582"/>
      <c r="J893" s="582"/>
      <c r="K893" s="582"/>
      <c r="L893" s="373"/>
      <c r="M893" s="373"/>
      <c r="N893" s="211" t="s">
        <v>1149</v>
      </c>
      <c r="O893" s="372"/>
      <c r="P893" s="396" t="s">
        <v>2564</v>
      </c>
      <c r="Q893" s="373"/>
      <c r="R893" s="373"/>
      <c r="S893" s="373"/>
      <c r="T893" s="373"/>
      <c r="U893" s="373"/>
      <c r="V893" s="373"/>
      <c r="W893" s="373"/>
      <c r="X893" s="373"/>
      <c r="Y893" s="373"/>
      <c r="Z893" s="373"/>
      <c r="AA893" s="373"/>
      <c r="AB893" s="211" t="s">
        <v>1149</v>
      </c>
    </row>
    <row r="894" spans="1:37" ht="10.050000000000001" customHeight="1">
      <c r="A894" s="199"/>
      <c r="B894" s="24"/>
      <c r="C894" s="24"/>
      <c r="D894" s="24"/>
      <c r="E894" s="24"/>
      <c r="F894" s="24"/>
      <c r="G894" s="24"/>
      <c r="H894" s="24"/>
      <c r="I894" s="24"/>
      <c r="J894" s="24"/>
      <c r="K894" s="24"/>
      <c r="L894" s="24"/>
      <c r="M894" s="24"/>
      <c r="N894" s="200"/>
      <c r="O894" s="199"/>
      <c r="P894" s="24"/>
      <c r="Q894" s="24"/>
      <c r="R894" s="398"/>
      <c r="S894" s="398"/>
      <c r="T894" s="398"/>
      <c r="U894" s="398"/>
      <c r="V894" s="398"/>
      <c r="W894" s="398"/>
      <c r="X894" s="398"/>
      <c r="Y894" s="398"/>
      <c r="Z894" s="398"/>
      <c r="AA894" s="398"/>
      <c r="AB894" s="200"/>
    </row>
    <row r="895" spans="1:37" ht="19.95" customHeight="1">
      <c r="A895" s="199"/>
      <c r="B895" s="762" t="s">
        <v>3001</v>
      </c>
      <c r="C895" s="719"/>
      <c r="D895" s="719"/>
      <c r="E895" s="719"/>
      <c r="F895" s="719"/>
      <c r="G895" s="719"/>
      <c r="H895" s="719"/>
      <c r="I895" s="719"/>
      <c r="J895" s="719"/>
      <c r="K895" s="719"/>
      <c r="L895" s="719"/>
      <c r="M895" s="719"/>
      <c r="N895" s="200"/>
      <c r="O895" s="199"/>
      <c r="P895" s="719"/>
      <c r="Q895" s="24"/>
      <c r="R895" s="398"/>
      <c r="S895" s="398"/>
      <c r="T895" s="398"/>
      <c r="U895" s="398"/>
      <c r="V895" s="398"/>
      <c r="W895" s="398"/>
      <c r="X895" s="398"/>
      <c r="Y895" s="398"/>
      <c r="Z895" s="398"/>
      <c r="AA895" s="398"/>
      <c r="AB895" s="200"/>
    </row>
    <row r="896" spans="1:37" ht="4.95" customHeight="1">
      <c r="A896" s="199"/>
      <c r="B896" s="24"/>
      <c r="C896" s="24"/>
      <c r="D896" s="24"/>
      <c r="E896" s="24"/>
      <c r="F896" s="24"/>
      <c r="G896" s="24"/>
      <c r="H896" s="719"/>
      <c r="I896" s="24"/>
      <c r="J896" s="24"/>
      <c r="K896" s="24"/>
      <c r="L896" s="24"/>
      <c r="M896" s="24"/>
      <c r="N896" s="200"/>
      <c r="O896" s="199"/>
      <c r="P896" s="24"/>
      <c r="Q896" s="24"/>
      <c r="R896" s="398"/>
      <c r="S896" s="398"/>
      <c r="T896" s="398"/>
      <c r="U896" s="398"/>
      <c r="V896" s="398"/>
      <c r="W896" s="398"/>
      <c r="X896" s="398"/>
      <c r="Y896" s="398"/>
      <c r="Z896" s="398"/>
      <c r="AA896" s="398"/>
      <c r="AB896" s="200"/>
    </row>
    <row r="897" spans="1:42" ht="19.95" customHeight="1">
      <c r="A897" s="199"/>
      <c r="B897" s="24"/>
      <c r="C897" s="24"/>
      <c r="D897" s="24"/>
      <c r="E897" s="24"/>
      <c r="F897" s="24"/>
      <c r="G897" s="24"/>
      <c r="H897" s="719"/>
      <c r="I897" s="24"/>
      <c r="J897" s="24"/>
      <c r="K897" s="24"/>
      <c r="L897" s="24"/>
      <c r="M897" s="24"/>
      <c r="N897" s="200"/>
      <c r="O897" s="199"/>
      <c r="P897" s="24"/>
      <c r="Q897" s="24"/>
      <c r="R897" s="398"/>
      <c r="S897" s="398"/>
      <c r="T897" s="398"/>
      <c r="U897" s="398"/>
      <c r="V897" s="398"/>
      <c r="W897" s="398"/>
      <c r="X897" s="398"/>
      <c r="Y897" s="398"/>
      <c r="Z897" s="398"/>
      <c r="AA897" s="398"/>
      <c r="AB897" s="200"/>
    </row>
    <row r="898" spans="1:42" ht="25.05" customHeight="1">
      <c r="A898" s="199"/>
      <c r="B898" s="24"/>
      <c r="C898" s="24"/>
      <c r="D898" s="24"/>
      <c r="E898" s="24"/>
      <c r="F898" s="24"/>
      <c r="G898" s="24"/>
      <c r="H898" s="719"/>
      <c r="I898" s="24"/>
      <c r="J898" s="24"/>
      <c r="K898" s="24"/>
      <c r="L898" s="24"/>
      <c r="M898" s="24"/>
      <c r="N898" s="200"/>
      <c r="O898" s="199"/>
      <c r="P898" s="24"/>
      <c r="Q898" s="24"/>
      <c r="R898" s="398"/>
      <c r="S898" s="398"/>
      <c r="T898" s="398"/>
      <c r="U898" s="398"/>
      <c r="V898" s="398"/>
      <c r="W898" s="398"/>
      <c r="X898" s="398"/>
      <c r="Y898" s="398"/>
      <c r="Z898" s="398"/>
      <c r="AA898" s="398"/>
      <c r="AB898" s="200"/>
    </row>
    <row r="899" spans="1:42" ht="25.05" customHeight="1" thickBot="1">
      <c r="A899" s="199"/>
      <c r="B899" s="24"/>
      <c r="C899" s="24"/>
      <c r="D899" s="24"/>
      <c r="E899" s="24"/>
      <c r="F899" s="24"/>
      <c r="G899" s="24"/>
      <c r="H899" s="719"/>
      <c r="I899" s="24"/>
      <c r="J899" s="24"/>
      <c r="K899" s="24"/>
      <c r="L899" s="24"/>
      <c r="M899" s="24"/>
      <c r="N899" s="200"/>
      <c r="O899" s="199"/>
      <c r="P899" s="24"/>
      <c r="Q899" s="24"/>
      <c r="R899" s="398"/>
      <c r="S899" s="398"/>
      <c r="T899" s="398"/>
      <c r="U899" s="398"/>
      <c r="V899" s="398"/>
      <c r="W899" s="398"/>
      <c r="X899" s="398"/>
      <c r="Y899" s="398"/>
      <c r="Z899" s="398"/>
      <c r="AA899" s="398"/>
      <c r="AB899" s="200"/>
    </row>
    <row r="900" spans="1:42" ht="19.95" customHeight="1" thickBot="1">
      <c r="A900" s="199"/>
      <c r="B900" s="391"/>
      <c r="C900" s="759" t="s">
        <v>2970</v>
      </c>
      <c r="D900" s="1363"/>
      <c r="E900" s="1364"/>
      <c r="F900" s="1365"/>
      <c r="G900" s="24"/>
      <c r="H900" s="719"/>
      <c r="I900" s="24"/>
      <c r="J900" s="24"/>
      <c r="K900" s="24"/>
      <c r="L900" s="24"/>
      <c r="M900" s="24"/>
      <c r="N900" s="200"/>
      <c r="O900" s="199"/>
      <c r="P900" s="24"/>
      <c r="Q900" s="24"/>
      <c r="R900" s="398"/>
      <c r="S900" s="398"/>
      <c r="T900" s="398"/>
      <c r="U900" s="398"/>
      <c r="V900" s="398"/>
      <c r="W900" s="398"/>
      <c r="X900" s="398"/>
      <c r="Y900" s="398"/>
      <c r="Z900" s="398"/>
      <c r="AA900" s="398"/>
      <c r="AB900" s="200"/>
    </row>
    <row r="901" spans="1:42" ht="18" customHeight="1">
      <c r="A901" s="199"/>
      <c r="B901" s="391"/>
      <c r="C901" s="391"/>
      <c r="D901" s="391"/>
      <c r="E901" s="391"/>
      <c r="F901" s="391"/>
      <c r="G901" s="391"/>
      <c r="H901" s="391"/>
      <c r="I901" s="1433" t="s">
        <v>2958</v>
      </c>
      <c r="J901" s="1433"/>
      <c r="K901" s="1433"/>
      <c r="L901" s="758"/>
      <c r="M901" s="24"/>
      <c r="N901" s="200"/>
      <c r="O901" s="199"/>
      <c r="P901" s="24"/>
      <c r="Q901" s="24"/>
      <c r="R901" s="398"/>
      <c r="S901" s="398"/>
      <c r="T901" s="398"/>
      <c r="U901" s="398"/>
      <c r="V901" s="398"/>
      <c r="W901" s="398"/>
      <c r="X901" s="398"/>
      <c r="Y901" s="398"/>
      <c r="Z901" s="398"/>
      <c r="AA901" s="200"/>
      <c r="AB901" s="200"/>
      <c r="AI901" s="459" t="str">
        <f>CONCATENATE(AK901,AL901,AM901,AN901)</f>
        <v/>
      </c>
      <c r="AK901" s="409" t="str">
        <f>IF($D$900=AO$901,AK908,IF($D$900=AO$902,AK911,IF($D$900=AO$903,AK914,IF($D$900=AO$904,AK917,IF($D$900=AO$905,AK920,IF($D$900=AO$906,AK923,""))))))</f>
        <v/>
      </c>
      <c r="AO901" s="2" t="s">
        <v>2951</v>
      </c>
    </row>
    <row r="902" spans="1:42" ht="18" customHeight="1">
      <c r="A902" s="199"/>
      <c r="B902" s="391"/>
      <c r="C902" s="391"/>
      <c r="D902" s="391"/>
      <c r="E902" s="391"/>
      <c r="F902" s="391"/>
      <c r="G902" s="391"/>
      <c r="H902" s="1432" t="str">
        <f>AI901</f>
        <v/>
      </c>
      <c r="I902" s="1432"/>
      <c r="J902" s="1432"/>
      <c r="K902" s="1432"/>
      <c r="L902" s="1432"/>
      <c r="M902" s="24"/>
      <c r="N902" s="200"/>
      <c r="O902" s="199"/>
      <c r="P902" s="24"/>
      <c r="Q902" s="24"/>
      <c r="R902" s="398"/>
      <c r="S902" s="398"/>
      <c r="T902" s="398"/>
      <c r="U902" s="398"/>
      <c r="V902" s="398"/>
      <c r="W902" s="398"/>
      <c r="X902" s="398"/>
      <c r="Y902" s="398"/>
      <c r="Z902" s="398"/>
      <c r="AA902" s="398"/>
      <c r="AB902" s="200"/>
      <c r="AO902" s="2" t="s">
        <v>2960</v>
      </c>
    </row>
    <row r="903" spans="1:42" ht="18" customHeight="1">
      <c r="A903" s="199"/>
      <c r="B903" s="391"/>
      <c r="C903" s="391"/>
      <c r="D903" s="391"/>
      <c r="E903" s="391"/>
      <c r="F903" s="391"/>
      <c r="G903" s="391"/>
      <c r="H903" s="391"/>
      <c r="I903" s="1433" t="s">
        <v>2932</v>
      </c>
      <c r="J903" s="1433"/>
      <c r="K903" s="1433"/>
      <c r="L903" s="758"/>
      <c r="M903" s="24"/>
      <c r="N903" s="200"/>
      <c r="O903" s="199"/>
      <c r="P903" s="24"/>
      <c r="Q903" s="24"/>
      <c r="R903" s="398"/>
      <c r="S903" s="398"/>
      <c r="T903" s="398"/>
      <c r="U903" s="398"/>
      <c r="V903" s="398"/>
      <c r="W903" s="398"/>
      <c r="X903" s="398"/>
      <c r="Y903" s="398"/>
      <c r="Z903" s="398"/>
      <c r="AA903" s="398"/>
      <c r="AB903" s="200"/>
      <c r="AI903" s="459" t="str">
        <f>CONCATENATE(AK903,AL903,AM903,AN903)</f>
        <v/>
      </c>
      <c r="AK903" s="409" t="str">
        <f>IF($D$900=AO$901,AK909,IF($D$900=AO$902,AK912,IF($D$900=AO$903,AK915,IF($D$900=AO$904,AK918,IF($D$900=AO$905,AK921,IF($D$900=AO$906,AK924,""))))))</f>
        <v/>
      </c>
      <c r="AO903" s="2" t="s">
        <v>2412</v>
      </c>
    </row>
    <row r="904" spans="1:42" ht="18" customHeight="1">
      <c r="A904" s="199"/>
      <c r="B904" s="391"/>
      <c r="C904" s="391"/>
      <c r="D904" s="391"/>
      <c r="E904" s="391"/>
      <c r="F904" s="391"/>
      <c r="G904" s="391"/>
      <c r="H904" s="1432" t="str">
        <f>AI903</f>
        <v/>
      </c>
      <c r="I904" s="1432"/>
      <c r="J904" s="1432"/>
      <c r="K904" s="1432"/>
      <c r="L904" s="1432"/>
      <c r="M904" s="24"/>
      <c r="N904" s="200"/>
      <c r="O904" s="199"/>
      <c r="P904" s="24"/>
      <c r="Q904" s="24"/>
      <c r="R904" s="398"/>
      <c r="S904" s="398"/>
      <c r="T904" s="398"/>
      <c r="U904" s="398"/>
      <c r="V904" s="398"/>
      <c r="W904" s="398"/>
      <c r="X904" s="398"/>
      <c r="Y904" s="398"/>
      <c r="Z904" s="398"/>
      <c r="AA904" s="398"/>
      <c r="AB904" s="200"/>
      <c r="AO904" s="2" t="s">
        <v>2422</v>
      </c>
    </row>
    <row r="905" spans="1:42" ht="18" customHeight="1">
      <c r="A905" s="199"/>
      <c r="B905" s="391"/>
      <c r="C905" s="391"/>
      <c r="D905" s="391"/>
      <c r="E905" s="391"/>
      <c r="F905" s="391"/>
      <c r="G905" s="391"/>
      <c r="H905" s="391"/>
      <c r="I905" s="1433" t="s">
        <v>2958</v>
      </c>
      <c r="J905" s="1433"/>
      <c r="K905" s="1433"/>
      <c r="L905" s="758"/>
      <c r="M905" s="24"/>
      <c r="N905" s="200"/>
      <c r="O905" s="199"/>
      <c r="P905" s="24"/>
      <c r="Q905" s="24"/>
      <c r="R905" s="398"/>
      <c r="S905" s="398"/>
      <c r="T905" s="398"/>
      <c r="U905" s="398"/>
      <c r="V905" s="398"/>
      <c r="W905" s="398"/>
      <c r="X905" s="398"/>
      <c r="Y905" s="398"/>
      <c r="Z905" s="398"/>
      <c r="AA905" s="398"/>
      <c r="AB905" s="200"/>
      <c r="AI905" s="459" t="str">
        <f>CONCATENATE(AK905,AL905,AM905,AN905)</f>
        <v/>
      </c>
      <c r="AK905" s="409" t="str">
        <f>IF($D$900=AO$901,AK910,IF($D$900=AO$902,AK913,IF($D$900=AO$903,AK916,IF($D$900=AO$904,AK919,IF($D$900=AO$905,AK922,IF($D$900=AO$906,AK925,""))))))</f>
        <v/>
      </c>
      <c r="AO905" s="2" t="s">
        <v>2950</v>
      </c>
    </row>
    <row r="906" spans="1:42" ht="18" customHeight="1">
      <c r="A906" s="199"/>
      <c r="B906" s="391"/>
      <c r="C906" s="391"/>
      <c r="D906" s="391"/>
      <c r="E906" s="391"/>
      <c r="F906" s="391"/>
      <c r="G906" s="391"/>
      <c r="H906" s="1432" t="str">
        <f>AI905</f>
        <v/>
      </c>
      <c r="I906" s="1432"/>
      <c r="J906" s="1432"/>
      <c r="K906" s="1432"/>
      <c r="L906" s="1432"/>
      <c r="M906" s="757"/>
      <c r="N906" s="200"/>
      <c r="O906" s="199"/>
      <c r="P906" s="24"/>
      <c r="Q906" s="24"/>
      <c r="R906" s="398"/>
      <c r="S906" s="398"/>
      <c r="T906" s="398"/>
      <c r="U906" s="398"/>
      <c r="V906" s="398"/>
      <c r="W906" s="398"/>
      <c r="X906" s="398"/>
      <c r="Y906" s="398"/>
      <c r="Z906" s="398"/>
      <c r="AA906" s="398"/>
      <c r="AB906" s="200"/>
      <c r="AO906" s="2" t="s">
        <v>2961</v>
      </c>
    </row>
    <row r="907" spans="1:42" ht="19.95" customHeight="1">
      <c r="A907" s="199"/>
      <c r="B907" s="391"/>
      <c r="C907" s="391"/>
      <c r="D907" s="391"/>
      <c r="E907" s="391"/>
      <c r="F907" s="391"/>
      <c r="G907" s="391"/>
      <c r="H907" s="391"/>
      <c r="I907" s="24"/>
      <c r="J907" s="24"/>
      <c r="K907" s="24"/>
      <c r="L907" s="24"/>
      <c r="M907" s="24"/>
      <c r="N907" s="200"/>
      <c r="O907" s="199"/>
      <c r="P907" s="24"/>
      <c r="Q907" s="24"/>
      <c r="R907" s="398"/>
      <c r="S907" s="398"/>
      <c r="T907" s="398"/>
      <c r="U907" s="398"/>
      <c r="V907" s="398"/>
      <c r="W907" s="398"/>
      <c r="X907" s="398"/>
      <c r="Y907" s="398"/>
      <c r="Z907" s="398"/>
      <c r="AA907" s="398"/>
      <c r="AB907" s="200"/>
    </row>
    <row r="908" spans="1:42" ht="22.95" customHeight="1">
      <c r="A908" s="199"/>
      <c r="B908" s="748" t="s">
        <v>2940</v>
      </c>
      <c r="C908" s="746"/>
      <c r="D908" s="746"/>
      <c r="E908" s="746"/>
      <c r="F908" s="746"/>
      <c r="G908" s="746"/>
      <c r="H908" s="746"/>
      <c r="I908" s="747"/>
      <c r="J908" s="1368" t="s">
        <v>1140</v>
      </c>
      <c r="K908" s="1368"/>
      <c r="L908" s="1367" t="s">
        <v>2068</v>
      </c>
      <c r="M908" s="1367"/>
      <c r="N908" s="200"/>
      <c r="O908" s="199"/>
      <c r="P908" s="24"/>
      <c r="Q908" s="24"/>
      <c r="R908" s="398"/>
      <c r="S908" s="398"/>
      <c r="T908" s="398"/>
      <c r="U908" s="398"/>
      <c r="V908" s="398"/>
      <c r="W908" s="398"/>
      <c r="X908" s="398"/>
      <c r="Y908" s="398"/>
      <c r="Z908" s="398"/>
      <c r="AA908" s="398"/>
      <c r="AB908" s="200"/>
      <c r="AI908" s="2" t="s">
        <v>2992</v>
      </c>
      <c r="AJ908" s="2">
        <v>1</v>
      </c>
      <c r="AK908" s="2" t="s">
        <v>2967</v>
      </c>
      <c r="AP908" s="2" t="s">
        <v>2959</v>
      </c>
    </row>
    <row r="909" spans="1:42" ht="19.95" customHeight="1">
      <c r="A909" s="199"/>
      <c r="B909" s="1456" t="s">
        <v>2998</v>
      </c>
      <c r="C909" s="1456"/>
      <c r="D909" s="1456"/>
      <c r="E909" s="1456"/>
      <c r="F909" s="1456"/>
      <c r="G909" s="1456"/>
      <c r="H909" s="1456"/>
      <c r="I909" s="1456"/>
      <c r="J909" s="1456"/>
      <c r="K909" s="1456"/>
      <c r="L909" s="1456"/>
      <c r="M909" s="1456"/>
      <c r="N909" s="200"/>
      <c r="O909" s="199"/>
      <c r="P909" s="778" t="s">
        <v>3207</v>
      </c>
      <c r="Q909" s="24"/>
      <c r="R909" s="398"/>
      <c r="S909" s="398"/>
      <c r="T909" s="398"/>
      <c r="U909" s="398"/>
      <c r="V909" s="398"/>
      <c r="W909" s="398"/>
      <c r="X909" s="398"/>
      <c r="Y909" s="398"/>
      <c r="Z909" s="398"/>
      <c r="AA909" s="398"/>
      <c r="AB909" s="200"/>
      <c r="AI909" s="2" t="s">
        <v>2991</v>
      </c>
      <c r="AJ909" s="2">
        <v>1</v>
      </c>
      <c r="AK909" s="2" t="s">
        <v>2968</v>
      </c>
      <c r="AP909" s="2" t="s">
        <v>2959</v>
      </c>
    </row>
    <row r="910" spans="1:42" ht="19.95" customHeight="1">
      <c r="A910" s="199"/>
      <c r="B910" s="1277"/>
      <c r="C910" s="1277"/>
      <c r="D910" s="1277"/>
      <c r="E910" s="1277"/>
      <c r="F910" s="1277"/>
      <c r="G910" s="1277"/>
      <c r="H910" s="1277"/>
      <c r="I910" s="1277"/>
      <c r="J910" s="1277"/>
      <c r="K910" s="1277"/>
      <c r="L910" s="1277"/>
      <c r="M910" s="1277"/>
      <c r="N910" s="200"/>
      <c r="O910" s="199"/>
      <c r="P910" s="778" t="s">
        <v>2945</v>
      </c>
      <c r="Q910" s="24"/>
      <c r="R910" s="398"/>
      <c r="S910" s="398"/>
      <c r="T910" s="398"/>
      <c r="U910" s="398"/>
      <c r="V910" s="398"/>
      <c r="W910" s="398"/>
      <c r="X910" s="398"/>
      <c r="Y910" s="398"/>
      <c r="Z910" s="398"/>
      <c r="AA910" s="398"/>
      <c r="AB910" s="200"/>
      <c r="AI910" s="2" t="s">
        <v>2993</v>
      </c>
      <c r="AJ910" s="2">
        <v>1</v>
      </c>
      <c r="AK910" s="2" t="s">
        <v>2969</v>
      </c>
      <c r="AP910" s="2" t="s">
        <v>2959</v>
      </c>
    </row>
    <row r="911" spans="1:42" ht="4.95" customHeight="1">
      <c r="A911" s="199"/>
      <c r="B911" s="601"/>
      <c r="C911" s="601"/>
      <c r="D911" s="601"/>
      <c r="E911" s="601"/>
      <c r="F911" s="601"/>
      <c r="G911" s="601"/>
      <c r="H911" s="601"/>
      <c r="I911" s="601"/>
      <c r="J911" s="601"/>
      <c r="K911" s="601"/>
      <c r="L911" s="601"/>
      <c r="M911" s="24"/>
      <c r="N911" s="200"/>
      <c r="O911" s="199"/>
      <c r="P911" s="904"/>
      <c r="Q911" s="24"/>
      <c r="R911" s="398"/>
      <c r="S911" s="398"/>
      <c r="T911" s="398"/>
      <c r="U911" s="398"/>
      <c r="V911" s="398"/>
      <c r="W911" s="398"/>
      <c r="X911" s="398"/>
      <c r="Y911" s="398"/>
      <c r="Z911" s="398"/>
      <c r="AA911" s="398"/>
      <c r="AB911" s="200"/>
      <c r="AI911" s="2" t="s">
        <v>2983</v>
      </c>
      <c r="AJ911" s="2">
        <v>2</v>
      </c>
      <c r="AK911" s="2" t="s">
        <v>2971</v>
      </c>
      <c r="AP911" s="2" t="s">
        <v>2962</v>
      </c>
    </row>
    <row r="912" spans="1:42" ht="22.95" customHeight="1">
      <c r="A912" s="199"/>
      <c r="B912" s="748" t="s">
        <v>2941</v>
      </c>
      <c r="C912" s="746"/>
      <c r="D912" s="746"/>
      <c r="E912" s="746"/>
      <c r="F912" s="746"/>
      <c r="G912" s="746"/>
      <c r="H912" s="746"/>
      <c r="I912" s="747"/>
      <c r="J912" s="1368" t="s">
        <v>1140</v>
      </c>
      <c r="K912" s="1368"/>
      <c r="L912" s="1367" t="s">
        <v>2068</v>
      </c>
      <c r="M912" s="1367"/>
      <c r="N912" s="200"/>
      <c r="O912" s="199"/>
      <c r="P912" s="904"/>
      <c r="Q912" s="24"/>
      <c r="R912" s="398"/>
      <c r="S912" s="398"/>
      <c r="T912" s="398"/>
      <c r="U912" s="398"/>
      <c r="V912" s="398"/>
      <c r="W912" s="398"/>
      <c r="X912" s="398"/>
      <c r="Y912" s="398"/>
      <c r="Z912" s="398"/>
      <c r="AA912" s="398"/>
      <c r="AB912" s="200"/>
      <c r="AI912" s="2" t="s">
        <v>2987</v>
      </c>
      <c r="AJ912" s="2">
        <v>2</v>
      </c>
      <c r="AK912" s="2" t="s">
        <v>2972</v>
      </c>
      <c r="AP912" s="2" t="s">
        <v>2962</v>
      </c>
    </row>
    <row r="913" spans="1:42" ht="19.95" customHeight="1">
      <c r="A913" s="199"/>
      <c r="B913" s="1456" t="s">
        <v>3153</v>
      </c>
      <c r="C913" s="1456"/>
      <c r="D913" s="1456"/>
      <c r="E913" s="1456"/>
      <c r="F913" s="1456"/>
      <c r="G913" s="1456"/>
      <c r="H913" s="1456"/>
      <c r="I913" s="1456"/>
      <c r="J913" s="1456"/>
      <c r="K913" s="1456"/>
      <c r="L913" s="1456"/>
      <c r="M913" s="1456"/>
      <c r="N913" s="200"/>
      <c r="O913" s="199"/>
      <c r="P913" s="778" t="s">
        <v>3208</v>
      </c>
      <c r="Q913" s="24"/>
      <c r="R913" s="398"/>
      <c r="S913" s="398"/>
      <c r="T913" s="398"/>
      <c r="U913" s="398"/>
      <c r="V913" s="398"/>
      <c r="W913" s="398"/>
      <c r="X913" s="398"/>
      <c r="Y913" s="398"/>
      <c r="Z913" s="398"/>
      <c r="AA913" s="398"/>
      <c r="AB913" s="200"/>
      <c r="AI913" s="2" t="s">
        <v>2994</v>
      </c>
      <c r="AJ913" s="2">
        <v>2</v>
      </c>
      <c r="AK913" s="2" t="s">
        <v>2973</v>
      </c>
      <c r="AP913" s="2" t="s">
        <v>2962</v>
      </c>
    </row>
    <row r="914" spans="1:42" ht="19.95" customHeight="1">
      <c r="A914" s="199"/>
      <c r="B914" s="1277"/>
      <c r="C914" s="1277"/>
      <c r="D914" s="1277"/>
      <c r="E914" s="1277"/>
      <c r="F914" s="1277"/>
      <c r="G914" s="1277"/>
      <c r="H914" s="1277"/>
      <c r="I914" s="1277"/>
      <c r="J914" s="1277"/>
      <c r="K914" s="1277"/>
      <c r="L914" s="1277"/>
      <c r="M914" s="1277"/>
      <c r="N914" s="200"/>
      <c r="O914" s="199"/>
      <c r="P914" s="778" t="s">
        <v>2946</v>
      </c>
      <c r="Q914" s="24"/>
      <c r="R914" s="398"/>
      <c r="S914" s="398"/>
      <c r="T914" s="398"/>
      <c r="U914" s="398"/>
      <c r="V914" s="398"/>
      <c r="W914" s="398"/>
      <c r="X914" s="398"/>
      <c r="Y914" s="398"/>
      <c r="Z914" s="398"/>
      <c r="AA914" s="398"/>
      <c r="AB914" s="200"/>
      <c r="AI914" s="2" t="s">
        <v>2984</v>
      </c>
      <c r="AJ914" s="2">
        <v>3</v>
      </c>
      <c r="AK914" s="2" t="s">
        <v>2974</v>
      </c>
      <c r="AP914" s="2" t="s">
        <v>2963</v>
      </c>
    </row>
    <row r="915" spans="1:42" ht="4.95" customHeight="1">
      <c r="A915" s="199"/>
      <c r="B915" s="601"/>
      <c r="C915" s="601"/>
      <c r="D915" s="601"/>
      <c r="E915" s="601"/>
      <c r="F915" s="601"/>
      <c r="G915" s="601"/>
      <c r="H915" s="601"/>
      <c r="I915" s="601"/>
      <c r="J915" s="601"/>
      <c r="K915" s="601"/>
      <c r="L915" s="601"/>
      <c r="M915" s="24"/>
      <c r="N915" s="200"/>
      <c r="O915" s="24"/>
      <c r="P915" s="904"/>
      <c r="Q915" s="24"/>
      <c r="R915" s="398"/>
      <c r="S915" s="398"/>
      <c r="T915" s="398"/>
      <c r="U915" s="398"/>
      <c r="V915" s="398"/>
      <c r="W915" s="398"/>
      <c r="X915" s="398"/>
      <c r="Y915" s="398"/>
      <c r="Z915" s="398"/>
      <c r="AA915" s="398"/>
      <c r="AB915" s="200"/>
      <c r="AI915" s="2" t="s">
        <v>2988</v>
      </c>
      <c r="AJ915" s="2">
        <v>3</v>
      </c>
      <c r="AK915" s="2" t="s">
        <v>2975</v>
      </c>
      <c r="AP915" s="2" t="s">
        <v>2963</v>
      </c>
    </row>
    <row r="916" spans="1:42" ht="22.95" customHeight="1">
      <c r="A916" s="199"/>
      <c r="B916" s="748" t="s">
        <v>2942</v>
      </c>
      <c r="C916" s="746"/>
      <c r="D916" s="746"/>
      <c r="E916" s="746"/>
      <c r="F916" s="746"/>
      <c r="G916" s="746"/>
      <c r="H916" s="746"/>
      <c r="I916" s="747"/>
      <c r="J916" s="1368" t="s">
        <v>1140</v>
      </c>
      <c r="K916" s="1368"/>
      <c r="L916" s="1367" t="s">
        <v>2068</v>
      </c>
      <c r="M916" s="1367"/>
      <c r="N916" s="200"/>
      <c r="O916" s="24"/>
      <c r="P916" s="904"/>
      <c r="Q916" s="24"/>
      <c r="R916" s="398"/>
      <c r="S916" s="398"/>
      <c r="T916" s="398"/>
      <c r="U916" s="398"/>
      <c r="V916" s="398"/>
      <c r="W916" s="398"/>
      <c r="X916" s="398"/>
      <c r="Y916" s="398"/>
      <c r="Z916" s="398"/>
      <c r="AA916" s="398"/>
      <c r="AB916" s="200"/>
      <c r="AI916" s="2" t="s">
        <v>2995</v>
      </c>
      <c r="AJ916" s="2">
        <v>3</v>
      </c>
      <c r="AK916" s="2" t="s">
        <v>2976</v>
      </c>
      <c r="AP916" s="2" t="s">
        <v>2963</v>
      </c>
    </row>
    <row r="917" spans="1:42" ht="19.95" customHeight="1">
      <c r="A917" s="199"/>
      <c r="B917" s="1456" t="s">
        <v>2999</v>
      </c>
      <c r="C917" s="1456"/>
      <c r="D917" s="1456"/>
      <c r="E917" s="1456"/>
      <c r="F917" s="1456"/>
      <c r="G917" s="1456"/>
      <c r="H917" s="1456"/>
      <c r="I917" s="1456"/>
      <c r="J917" s="1456"/>
      <c r="K917" s="1456"/>
      <c r="L917" s="1456"/>
      <c r="M917" s="1456"/>
      <c r="N917" s="200"/>
      <c r="O917" s="199"/>
      <c r="P917" s="778" t="s">
        <v>3209</v>
      </c>
      <c r="Q917" s="24"/>
      <c r="R917" s="398"/>
      <c r="S917" s="398"/>
      <c r="T917" s="398"/>
      <c r="U917" s="398"/>
      <c r="V917" s="398"/>
      <c r="W917" s="398"/>
      <c r="X917" s="398"/>
      <c r="Y917" s="398"/>
      <c r="Z917" s="398"/>
      <c r="AA917" s="398"/>
      <c r="AB917" s="200"/>
      <c r="AI917" s="2" t="s">
        <v>2985</v>
      </c>
      <c r="AJ917" s="2">
        <v>4</v>
      </c>
      <c r="AK917" s="2" t="s">
        <v>2977</v>
      </c>
      <c r="AP917" s="2" t="s">
        <v>2964</v>
      </c>
    </row>
    <row r="918" spans="1:42" ht="19.95" customHeight="1">
      <c r="A918" s="199"/>
      <c r="B918" s="1277"/>
      <c r="C918" s="1277"/>
      <c r="D918" s="1277"/>
      <c r="E918" s="1277"/>
      <c r="F918" s="1277"/>
      <c r="G918" s="1277"/>
      <c r="H918" s="1277"/>
      <c r="I918" s="1277"/>
      <c r="J918" s="1277"/>
      <c r="K918" s="1277"/>
      <c r="L918" s="1277"/>
      <c r="M918" s="1277"/>
      <c r="N918" s="200"/>
      <c r="O918" s="199"/>
      <c r="P918" s="778" t="s">
        <v>2069</v>
      </c>
      <c r="Q918" s="24"/>
      <c r="R918" s="398"/>
      <c r="S918" s="398"/>
      <c r="T918" s="398"/>
      <c r="U918" s="398"/>
      <c r="V918" s="398"/>
      <c r="W918" s="398"/>
      <c r="X918" s="398"/>
      <c r="Y918" s="398"/>
      <c r="Z918" s="398"/>
      <c r="AA918" s="398"/>
      <c r="AB918" s="200"/>
      <c r="AI918" s="2" t="s">
        <v>2989</v>
      </c>
      <c r="AJ918" s="2">
        <v>4</v>
      </c>
      <c r="AK918" s="2" t="s">
        <v>2978</v>
      </c>
      <c r="AP918" s="2" t="s">
        <v>2964</v>
      </c>
    </row>
    <row r="919" spans="1:42" ht="4.95" customHeight="1">
      <c r="A919" s="199"/>
      <c r="B919" s="601"/>
      <c r="C919" s="601"/>
      <c r="D919" s="601"/>
      <c r="E919" s="601"/>
      <c r="F919" s="601"/>
      <c r="G919" s="601"/>
      <c r="H919" s="601"/>
      <c r="I919" s="601"/>
      <c r="J919" s="601"/>
      <c r="K919" s="601"/>
      <c r="L919" s="601"/>
      <c r="M919" s="24"/>
      <c r="N919" s="200"/>
      <c r="O919" s="199"/>
      <c r="P919" s="904"/>
      <c r="Q919" s="24"/>
      <c r="R919" s="398"/>
      <c r="S919" s="398"/>
      <c r="T919" s="398"/>
      <c r="U919" s="398"/>
      <c r="V919" s="398"/>
      <c r="W919" s="398"/>
      <c r="X919" s="398"/>
      <c r="Y919" s="398"/>
      <c r="Z919" s="398"/>
      <c r="AA919" s="398"/>
      <c r="AB919" s="200"/>
      <c r="AI919" s="2" t="s">
        <v>2997</v>
      </c>
      <c r="AJ919" s="2">
        <v>4</v>
      </c>
      <c r="AK919" s="2" t="s">
        <v>2979</v>
      </c>
      <c r="AP919" s="2" t="s">
        <v>2964</v>
      </c>
    </row>
    <row r="920" spans="1:42" ht="22.95" customHeight="1">
      <c r="A920" s="199"/>
      <c r="B920" s="748" t="s">
        <v>2943</v>
      </c>
      <c r="C920" s="746"/>
      <c r="D920" s="746"/>
      <c r="E920" s="746"/>
      <c r="F920" s="746"/>
      <c r="G920" s="746"/>
      <c r="H920" s="746"/>
      <c r="I920" s="747"/>
      <c r="J920" s="1368" t="s">
        <v>1140</v>
      </c>
      <c r="K920" s="1368"/>
      <c r="L920" s="1367" t="s">
        <v>2068</v>
      </c>
      <c r="M920" s="1367"/>
      <c r="N920" s="200"/>
      <c r="O920" s="199"/>
      <c r="P920" s="904"/>
      <c r="Q920" s="24"/>
      <c r="R920" s="398"/>
      <c r="S920" s="398"/>
      <c r="T920" s="398"/>
      <c r="U920" s="398"/>
      <c r="V920" s="398"/>
      <c r="W920" s="398"/>
      <c r="X920" s="398"/>
      <c r="Y920" s="398"/>
      <c r="Z920" s="398"/>
      <c r="AA920" s="398"/>
      <c r="AB920" s="200"/>
      <c r="AI920" s="2" t="s">
        <v>2986</v>
      </c>
      <c r="AJ920" s="2">
        <v>5</v>
      </c>
      <c r="AK920" s="2" t="s">
        <v>2980</v>
      </c>
      <c r="AP920" s="2" t="s">
        <v>2965</v>
      </c>
    </row>
    <row r="921" spans="1:42" ht="19.95" customHeight="1">
      <c r="A921" s="199"/>
      <c r="B921" s="1456" t="s">
        <v>3000</v>
      </c>
      <c r="C921" s="1456"/>
      <c r="D921" s="1456"/>
      <c r="E921" s="1456"/>
      <c r="F921" s="1456"/>
      <c r="G921" s="1456"/>
      <c r="H921" s="1456"/>
      <c r="I921" s="1456"/>
      <c r="J921" s="1456"/>
      <c r="K921" s="1456"/>
      <c r="L921" s="1456"/>
      <c r="M921" s="1456"/>
      <c r="N921" s="200"/>
      <c r="O921" s="199"/>
      <c r="P921" s="778" t="s">
        <v>3210</v>
      </c>
      <c r="Q921" s="24"/>
      <c r="R921" s="398"/>
      <c r="S921" s="398"/>
      <c r="T921" s="398"/>
      <c r="U921" s="398"/>
      <c r="V921" s="398"/>
      <c r="W921" s="398"/>
      <c r="X921" s="398"/>
      <c r="Y921" s="398"/>
      <c r="Z921" s="398"/>
      <c r="AA921" s="398"/>
      <c r="AB921" s="200"/>
      <c r="AI921" s="2" t="s">
        <v>2990</v>
      </c>
      <c r="AJ921" s="2">
        <v>5</v>
      </c>
      <c r="AK921" s="2" t="s">
        <v>2981</v>
      </c>
      <c r="AP921" s="2" t="s">
        <v>2965</v>
      </c>
    </row>
    <row r="922" spans="1:42" ht="19.95" customHeight="1">
      <c r="A922" s="199"/>
      <c r="B922" s="1277"/>
      <c r="C922" s="1277"/>
      <c r="D922" s="1277"/>
      <c r="E922" s="1277"/>
      <c r="F922" s="1277"/>
      <c r="G922" s="1277"/>
      <c r="H922" s="1277"/>
      <c r="I922" s="1277"/>
      <c r="J922" s="1277"/>
      <c r="K922" s="1277"/>
      <c r="L922" s="1277"/>
      <c r="M922" s="1277"/>
      <c r="N922" s="200"/>
      <c r="O922" s="199"/>
      <c r="P922" s="778" t="s">
        <v>2070</v>
      </c>
      <c r="Q922" s="24"/>
      <c r="R922" s="398"/>
      <c r="S922" s="398"/>
      <c r="T922" s="398"/>
      <c r="U922" s="398"/>
      <c r="V922" s="398"/>
      <c r="W922" s="398"/>
      <c r="X922" s="398"/>
      <c r="Y922" s="398"/>
      <c r="Z922" s="398"/>
      <c r="AA922" s="398"/>
      <c r="AB922" s="200"/>
      <c r="AI922" s="2" t="s">
        <v>2996</v>
      </c>
      <c r="AJ922" s="2">
        <v>5</v>
      </c>
      <c r="AK922" s="2" t="s">
        <v>2982</v>
      </c>
      <c r="AP922" s="2" t="s">
        <v>2965</v>
      </c>
    </row>
    <row r="923" spans="1:42" ht="4.95" customHeight="1">
      <c r="A923" s="199"/>
      <c r="B923" s="601"/>
      <c r="C923" s="601"/>
      <c r="D923" s="601"/>
      <c r="E923" s="601"/>
      <c r="F923" s="601"/>
      <c r="G923" s="601"/>
      <c r="H923" s="601"/>
      <c r="I923" s="601"/>
      <c r="J923" s="601"/>
      <c r="K923" s="601"/>
      <c r="L923" s="601"/>
      <c r="M923" s="24"/>
      <c r="N923" s="200"/>
      <c r="O923" s="199"/>
      <c r="P923" s="904"/>
      <c r="Q923" s="24"/>
      <c r="R923" s="398"/>
      <c r="S923" s="398"/>
      <c r="T923" s="398"/>
      <c r="U923" s="398"/>
      <c r="V923" s="398"/>
      <c r="W923" s="398"/>
      <c r="X923" s="398"/>
      <c r="Y923" s="398"/>
      <c r="Z923" s="398"/>
      <c r="AA923" s="398"/>
      <c r="AB923" s="200"/>
      <c r="AJ923" s="2">
        <v>6</v>
      </c>
      <c r="AK923" s="2" t="s">
        <v>2966</v>
      </c>
      <c r="AP923" s="2" t="s">
        <v>2966</v>
      </c>
    </row>
    <row r="924" spans="1:42" ht="22.95" customHeight="1">
      <c r="A924" s="199"/>
      <c r="B924" s="748" t="s">
        <v>2944</v>
      </c>
      <c r="C924" s="746"/>
      <c r="D924" s="746"/>
      <c r="E924" s="746"/>
      <c r="F924" s="746"/>
      <c r="G924" s="746"/>
      <c r="H924" s="746"/>
      <c r="I924" s="747"/>
      <c r="J924" s="1368" t="s">
        <v>1140</v>
      </c>
      <c r="K924" s="1368"/>
      <c r="L924" s="1367" t="s">
        <v>2068</v>
      </c>
      <c r="M924" s="1367"/>
      <c r="N924" s="200"/>
      <c r="O924" s="199"/>
      <c r="P924" s="904"/>
      <c r="Q924" s="24"/>
      <c r="R924" s="398"/>
      <c r="S924" s="398"/>
      <c r="T924" s="398"/>
      <c r="U924" s="398"/>
      <c r="V924" s="398"/>
      <c r="W924" s="398"/>
      <c r="X924" s="398"/>
      <c r="Y924" s="398"/>
      <c r="Z924" s="398"/>
      <c r="AA924" s="398"/>
      <c r="AB924" s="200"/>
      <c r="AJ924" s="2">
        <v>6</v>
      </c>
      <c r="AK924" s="2" t="s">
        <v>2966</v>
      </c>
      <c r="AP924" s="2" t="s">
        <v>2966</v>
      </c>
    </row>
    <row r="925" spans="1:42" ht="19.95" customHeight="1">
      <c r="A925" s="199"/>
      <c r="B925" s="1456" t="s">
        <v>3212</v>
      </c>
      <c r="C925" s="1456"/>
      <c r="D925" s="1456"/>
      <c r="E925" s="1456"/>
      <c r="F925" s="1456"/>
      <c r="G925" s="1456"/>
      <c r="H925" s="1456"/>
      <c r="I925" s="1456"/>
      <c r="J925" s="1456"/>
      <c r="K925" s="1456"/>
      <c r="L925" s="1456"/>
      <c r="M925" s="1456"/>
      <c r="N925" s="200"/>
      <c r="O925" s="199"/>
      <c r="P925" s="778" t="s">
        <v>3211</v>
      </c>
      <c r="Q925" s="24"/>
      <c r="R925" s="398"/>
      <c r="S925" s="398"/>
      <c r="T925" s="398"/>
      <c r="U925" s="398"/>
      <c r="V925" s="398"/>
      <c r="W925" s="398"/>
      <c r="X925" s="398"/>
      <c r="Y925" s="398"/>
      <c r="Z925" s="398"/>
      <c r="AA925" s="398"/>
      <c r="AB925" s="200"/>
      <c r="AJ925" s="2">
        <v>6</v>
      </c>
      <c r="AK925" s="2" t="s">
        <v>2966</v>
      </c>
      <c r="AP925" s="2" t="s">
        <v>2966</v>
      </c>
    </row>
    <row r="926" spans="1:42" ht="19.95" customHeight="1">
      <c r="A926" s="199"/>
      <c r="B926" s="1277"/>
      <c r="C926" s="1277"/>
      <c r="D926" s="1277"/>
      <c r="E926" s="1277"/>
      <c r="F926" s="1277"/>
      <c r="G926" s="1277"/>
      <c r="H926" s="1277"/>
      <c r="I926" s="1277"/>
      <c r="J926" s="1277"/>
      <c r="K926" s="1277"/>
      <c r="L926" s="1277"/>
      <c r="M926" s="1277"/>
      <c r="N926" s="200"/>
      <c r="O926" s="199"/>
      <c r="P926" s="778" t="s">
        <v>2071</v>
      </c>
      <c r="Q926" s="24"/>
      <c r="R926" s="398"/>
      <c r="S926" s="398"/>
      <c r="T926" s="398"/>
      <c r="U926" s="398"/>
      <c r="V926" s="398"/>
      <c r="W926" s="398"/>
      <c r="X926" s="398"/>
      <c r="Y926" s="398"/>
      <c r="Z926" s="398"/>
      <c r="AA926" s="398"/>
      <c r="AB926" s="200"/>
    </row>
    <row r="927" spans="1:42" ht="4.95" customHeight="1">
      <c r="A927" s="199"/>
      <c r="B927" s="391"/>
      <c r="C927" s="391"/>
      <c r="D927" s="391"/>
      <c r="E927" s="391"/>
      <c r="F927" s="391"/>
      <c r="G927" s="391"/>
      <c r="H927" s="391"/>
      <c r="I927" s="391"/>
      <c r="J927" s="24"/>
      <c r="K927" s="24"/>
      <c r="L927" s="24"/>
      <c r="M927" s="24"/>
      <c r="N927" s="200"/>
      <c r="O927" s="199"/>
      <c r="P927" s="24"/>
      <c r="Q927" s="24"/>
      <c r="R927" s="398"/>
      <c r="S927" s="398"/>
      <c r="T927" s="398"/>
      <c r="U927" s="398"/>
      <c r="V927" s="398"/>
      <c r="W927" s="398"/>
      <c r="X927" s="398"/>
      <c r="Y927" s="398"/>
      <c r="Z927" s="398"/>
      <c r="AA927" s="398"/>
      <c r="AB927" s="200"/>
    </row>
    <row r="928" spans="1:42" ht="19.95" customHeight="1">
      <c r="A928" s="199"/>
      <c r="B928" s="391"/>
      <c r="C928" s="391"/>
      <c r="D928" s="391"/>
      <c r="E928" s="391"/>
      <c r="F928" s="391"/>
      <c r="G928" s="391"/>
      <c r="H928" s="391"/>
      <c r="I928" s="391"/>
      <c r="J928" s="391"/>
      <c r="K928" s="391"/>
      <c r="L928" s="391"/>
      <c r="M928" s="391"/>
      <c r="N928" s="200"/>
      <c r="O928" s="199"/>
      <c r="P928" s="24"/>
      <c r="Q928" s="24"/>
      <c r="R928" s="398"/>
      <c r="S928" s="398"/>
      <c r="T928" s="398"/>
      <c r="U928" s="398"/>
      <c r="V928" s="398"/>
      <c r="W928" s="398"/>
      <c r="X928" s="398"/>
      <c r="Y928" s="398"/>
      <c r="Z928" s="398"/>
      <c r="AA928" s="398"/>
      <c r="AB928" s="200"/>
    </row>
    <row r="929" spans="1:49" ht="19.95" customHeight="1">
      <c r="A929" s="199"/>
      <c r="B929" s="391"/>
      <c r="C929" s="391"/>
      <c r="D929" s="391"/>
      <c r="E929" s="391"/>
      <c r="F929" s="391"/>
      <c r="G929" s="391"/>
      <c r="H929" s="391"/>
      <c r="I929" s="391"/>
      <c r="J929" s="391"/>
      <c r="K929" s="391"/>
      <c r="L929" s="391"/>
      <c r="M929" s="391"/>
      <c r="N929" s="200"/>
      <c r="O929" s="199"/>
      <c r="P929" s="24"/>
      <c r="Q929" s="24"/>
      <c r="R929" s="398"/>
      <c r="S929" s="398"/>
      <c r="T929" s="398"/>
      <c r="U929" s="398"/>
      <c r="V929" s="398"/>
      <c r="W929" s="398"/>
      <c r="X929" s="398"/>
      <c r="Y929" s="398"/>
      <c r="Z929" s="398"/>
      <c r="AA929" s="398"/>
      <c r="AB929" s="200"/>
    </row>
    <row r="930" spans="1:49" ht="4.95" customHeight="1">
      <c r="A930" s="199"/>
      <c r="B930" s="24"/>
      <c r="C930" s="24"/>
      <c r="D930" s="24"/>
      <c r="E930" s="24"/>
      <c r="F930" s="24"/>
      <c r="G930" s="24"/>
      <c r="H930" s="24"/>
      <c r="I930" s="24"/>
      <c r="J930" s="24"/>
      <c r="K930" s="24"/>
      <c r="L930" s="24"/>
      <c r="M930" s="24"/>
      <c r="N930" s="200"/>
      <c r="O930" s="199"/>
      <c r="P930" s="24"/>
      <c r="Q930" s="24"/>
      <c r="R930" s="398"/>
      <c r="S930" s="398"/>
      <c r="T930" s="398"/>
      <c r="U930" s="398"/>
      <c r="V930" s="398"/>
      <c r="W930" s="398"/>
      <c r="X930" s="398"/>
      <c r="Y930" s="398"/>
      <c r="Z930" s="398"/>
      <c r="AA930" s="398"/>
      <c r="AB930" s="200"/>
    </row>
    <row r="931" spans="1:49" ht="30" customHeight="1">
      <c r="A931" s="210" t="s">
        <v>1148</v>
      </c>
      <c r="B931" s="399" t="s">
        <v>3098</v>
      </c>
      <c r="C931" s="582"/>
      <c r="D931" s="582"/>
      <c r="E931" s="583"/>
      <c r="F931" s="584"/>
      <c r="G931" s="582"/>
      <c r="H931" s="582"/>
      <c r="I931" s="582"/>
      <c r="J931" s="582"/>
      <c r="K931" s="582"/>
      <c r="L931" s="373"/>
      <c r="M931" s="373"/>
      <c r="N931" s="211" t="s">
        <v>1149</v>
      </c>
      <c r="O931" s="372"/>
      <c r="P931" s="374"/>
      <c r="Q931" s="373"/>
      <c r="R931" s="373"/>
      <c r="S931" s="373"/>
      <c r="T931" s="373"/>
      <c r="U931" s="373"/>
      <c r="V931" s="373"/>
      <c r="W931" s="373"/>
      <c r="X931" s="373"/>
      <c r="Y931" s="373"/>
      <c r="Z931" s="373"/>
      <c r="AA931" s="373"/>
      <c r="AB931" s="211" t="s">
        <v>1149</v>
      </c>
    </row>
    <row r="932" spans="1:49" ht="15" customHeight="1">
      <c r="A932" s="199"/>
      <c r="B932" s="24"/>
      <c r="C932" s="24"/>
      <c r="D932" s="24"/>
      <c r="E932" s="24"/>
      <c r="F932" s="24"/>
      <c r="G932" s="24"/>
      <c r="H932" s="24"/>
      <c r="I932" s="24"/>
      <c r="J932" s="24"/>
      <c r="K932" s="24"/>
      <c r="L932" s="24"/>
      <c r="M932" s="24"/>
      <c r="N932" s="200"/>
      <c r="O932" s="199"/>
      <c r="P932" s="24"/>
      <c r="Q932" s="24"/>
      <c r="R932" s="398"/>
      <c r="S932" s="398"/>
      <c r="T932" s="398"/>
      <c r="U932" s="398"/>
      <c r="V932" s="398"/>
      <c r="W932" s="398"/>
      <c r="X932" s="398"/>
      <c r="Y932" s="398"/>
      <c r="Z932" s="398"/>
      <c r="AA932" s="398"/>
      <c r="AB932" s="200"/>
    </row>
    <row r="933" spans="1:49" ht="19.95" customHeight="1">
      <c r="A933" s="199"/>
      <c r="B933" s="719" t="s">
        <v>3085</v>
      </c>
      <c r="C933" s="481"/>
      <c r="D933" s="481"/>
      <c r="E933" s="481"/>
      <c r="F933" s="481"/>
      <c r="G933" s="481"/>
      <c r="H933" s="481"/>
      <c r="I933" s="481"/>
      <c r="J933" s="481"/>
      <c r="K933" s="481"/>
      <c r="L933" s="481"/>
      <c r="M933" s="481"/>
      <c r="N933" s="200"/>
      <c r="O933" s="199"/>
      <c r="P933" s="24"/>
      <c r="Q933" s="24"/>
      <c r="R933" s="398"/>
      <c r="S933" s="398"/>
      <c r="T933" s="398"/>
      <c r="U933" s="398"/>
      <c r="V933" s="398"/>
      <c r="W933" s="398"/>
      <c r="X933" s="398"/>
      <c r="Y933" s="398"/>
      <c r="Z933" s="398"/>
      <c r="AA933" s="398"/>
      <c r="AB933" s="200"/>
    </row>
    <row r="934" spans="1:49" ht="4.95" customHeight="1">
      <c r="A934" s="199"/>
      <c r="B934" s="24"/>
      <c r="C934" s="24"/>
      <c r="D934" s="24"/>
      <c r="E934" s="24"/>
      <c r="F934" s="24"/>
      <c r="G934" s="24"/>
      <c r="H934" s="24"/>
      <c r="I934" s="24"/>
      <c r="J934" s="24"/>
      <c r="K934" s="24"/>
      <c r="L934" s="24"/>
      <c r="M934" s="24"/>
      <c r="N934" s="200"/>
      <c r="O934" s="199"/>
      <c r="P934" s="24"/>
      <c r="Q934" s="24"/>
      <c r="R934" s="398"/>
      <c r="S934" s="398"/>
      <c r="T934" s="398"/>
      <c r="U934" s="398"/>
      <c r="V934" s="398"/>
      <c r="W934" s="398"/>
      <c r="X934" s="398"/>
      <c r="Y934" s="398"/>
      <c r="Z934" s="398"/>
      <c r="AA934" s="398"/>
      <c r="AB934" s="200"/>
    </row>
    <row r="935" spans="1:49" ht="34.950000000000003" customHeight="1">
      <c r="A935" s="199"/>
      <c r="B935" s="481"/>
      <c r="C935" s="24"/>
      <c r="D935" s="24"/>
      <c r="E935" s="24"/>
      <c r="F935" s="24"/>
      <c r="G935" s="24"/>
      <c r="H935" s="24"/>
      <c r="I935" s="24"/>
      <c r="J935" s="24"/>
      <c r="K935" s="24"/>
      <c r="L935" s="24"/>
      <c r="M935" s="24"/>
      <c r="N935" s="200"/>
      <c r="O935" s="199"/>
      <c r="P935" s="24"/>
      <c r="Q935" s="24"/>
      <c r="R935" s="398"/>
      <c r="S935" s="398"/>
      <c r="T935" s="398"/>
      <c r="U935" s="398"/>
      <c r="V935" s="398"/>
      <c r="W935" s="398"/>
      <c r="X935" s="398"/>
      <c r="Y935" s="398"/>
      <c r="Z935" s="398"/>
      <c r="AA935" s="398"/>
      <c r="AB935" s="200"/>
      <c r="AO935" s="2">
        <v>1</v>
      </c>
      <c r="AP935" s="2" t="s">
        <v>3025</v>
      </c>
    </row>
    <row r="936" spans="1:49" ht="22.95" customHeight="1">
      <c r="A936" s="199"/>
      <c r="B936" s="601"/>
      <c r="C936" s="601"/>
      <c r="D936" s="601"/>
      <c r="E936" s="601"/>
      <c r="F936" s="601"/>
      <c r="G936" s="601"/>
      <c r="H936" s="601"/>
      <c r="I936" s="601"/>
      <c r="J936" s="601"/>
      <c r="K936" s="601"/>
      <c r="L936" s="601"/>
      <c r="M936" s="601"/>
      <c r="N936" s="200"/>
      <c r="O936" s="199"/>
      <c r="P936" s="24"/>
      <c r="Q936" s="24"/>
      <c r="R936" s="398"/>
      <c r="S936" s="398"/>
      <c r="T936" s="398"/>
      <c r="U936" s="398"/>
      <c r="V936" s="398"/>
      <c r="W936" s="398"/>
      <c r="X936" s="398"/>
      <c r="Y936" s="398"/>
      <c r="Z936" s="398"/>
      <c r="AA936" s="398"/>
      <c r="AB936" s="200"/>
      <c r="AO936" s="2">
        <v>5</v>
      </c>
      <c r="AP936" s="2" t="s">
        <v>989</v>
      </c>
    </row>
    <row r="937" spans="1:49" ht="22.95" customHeight="1" thickBot="1">
      <c r="A937" s="199"/>
      <c r="B937" s="781" t="s">
        <v>3019</v>
      </c>
      <c r="C937" s="393"/>
      <c r="D937" s="1436"/>
      <c r="E937" s="1437"/>
      <c r="F937" s="782" t="s">
        <v>3020</v>
      </c>
      <c r="G937" s="393"/>
      <c r="H937" s="1436">
        <f ca="1">TODAY()</f>
        <v>44213</v>
      </c>
      <c r="I937" s="1437"/>
      <c r="J937" s="782"/>
      <c r="K937" s="783" t="s">
        <v>3023</v>
      </c>
      <c r="L937" s="1462" t="str">
        <f>AI937</f>
        <v>1 year</v>
      </c>
      <c r="M937" s="1462"/>
      <c r="N937" s="200"/>
      <c r="O937" s="199"/>
      <c r="P937" s="24"/>
      <c r="Q937" s="24"/>
      <c r="R937" s="398"/>
      <c r="S937" s="398"/>
      <c r="T937" s="398"/>
      <c r="U937" s="398"/>
      <c r="V937" s="398"/>
      <c r="W937" s="398"/>
      <c r="X937" s="398"/>
      <c r="Y937" s="398"/>
      <c r="Z937" s="398"/>
      <c r="AA937" s="398"/>
      <c r="AB937" s="200"/>
      <c r="AI937" s="2" t="str">
        <f>IF(D937="",CONCATENATE(AM937,AN937),CONCATENATE(AK937,AL937))</f>
        <v>1 year</v>
      </c>
      <c r="AJ937" s="779">
        <f ca="1">TODAY()</f>
        <v>44213</v>
      </c>
      <c r="AK937" s="2">
        <f ca="1">IF(OR(D937="",H937=""),0,ROUND((H937-D937)/365.25,2))</f>
        <v>0</v>
      </c>
      <c r="AL937" s="2" t="s">
        <v>3028</v>
      </c>
      <c r="AM937" s="2">
        <v>1</v>
      </c>
      <c r="AN937" s="2" t="s">
        <v>3029</v>
      </c>
      <c r="AO937" s="2">
        <v>25</v>
      </c>
      <c r="AP937" s="2" t="s">
        <v>999</v>
      </c>
    </row>
    <row r="938" spans="1:49" ht="22.95" customHeight="1" thickTop="1">
      <c r="A938" s="199"/>
      <c r="B938" s="781" t="s">
        <v>3021</v>
      </c>
      <c r="C938" s="393"/>
      <c r="D938" s="1434"/>
      <c r="E938" s="1435"/>
      <c r="F938" s="1444" t="s">
        <v>3022</v>
      </c>
      <c r="G938" s="1445"/>
      <c r="H938" s="1438"/>
      <c r="I938" s="1439"/>
      <c r="J938" s="782"/>
      <c r="K938" s="783" t="s">
        <v>3027</v>
      </c>
      <c r="L938" s="1462" t="str">
        <f>AI938</f>
        <v>$0</v>
      </c>
      <c r="M938" s="1462"/>
      <c r="N938" s="200"/>
      <c r="O938" s="199"/>
      <c r="P938" s="24"/>
      <c r="Q938" s="24"/>
      <c r="R938" s="398"/>
      <c r="S938" s="398"/>
      <c r="T938" s="398"/>
      <c r="U938" s="398"/>
      <c r="V938" s="398"/>
      <c r="W938" s="398"/>
      <c r="X938" s="398"/>
      <c r="Y938" s="398"/>
      <c r="Z938" s="398"/>
      <c r="AA938" s="398"/>
      <c r="AB938" s="200"/>
      <c r="AI938" s="2" t="str">
        <f>CONCATENATE(AL938,AM938)</f>
        <v>$0</v>
      </c>
      <c r="AJ938" s="2">
        <f>IF(D938="",0,ROUND((AJ937-D938)/365.25,0))</f>
        <v>0</v>
      </c>
      <c r="AK938" s="2">
        <f>IF(H938=AP935,AO935,IF(H938=AP936,AO936,IF(H938=AP937,AO937,IF(H938=AP938,AO938,IF(H938=AP939,AO939,0)))))</f>
        <v>0</v>
      </c>
      <c r="AL938" s="785" t="s">
        <v>1149</v>
      </c>
      <c r="AM938" s="2">
        <f>IF((AJ938*AK938)&lt;99.99,AJ938*AK938,TEXT((AJ938*AK938),"0,00"))</f>
        <v>0</v>
      </c>
      <c r="AO938" s="2">
        <v>125</v>
      </c>
      <c r="AP938" s="2" t="s">
        <v>990</v>
      </c>
    </row>
    <row r="939" spans="1:49" ht="4.95" customHeight="1" thickBot="1">
      <c r="A939" s="199"/>
      <c r="B939" s="778"/>
      <c r="C939" s="601"/>
      <c r="D939" s="601"/>
      <c r="E939" s="601"/>
      <c r="F939" s="601"/>
      <c r="G939" s="601"/>
      <c r="H939" s="601"/>
      <c r="I939" s="601"/>
      <c r="J939" s="601"/>
      <c r="K939" s="601"/>
      <c r="L939" s="601"/>
      <c r="M939" s="601"/>
      <c r="N939" s="200"/>
      <c r="O939" s="199"/>
      <c r="P939" s="24"/>
      <c r="Q939" s="24"/>
      <c r="R939" s="398"/>
      <c r="S939" s="398"/>
      <c r="T939" s="398"/>
      <c r="U939" s="398"/>
      <c r="V939" s="398"/>
      <c r="W939" s="398"/>
      <c r="X939" s="398"/>
      <c r="Y939" s="398"/>
      <c r="Z939" s="398"/>
      <c r="AA939" s="398"/>
      <c r="AB939" s="200"/>
      <c r="AO939" s="2">
        <v>625</v>
      </c>
      <c r="AP939" s="2" t="s">
        <v>3026</v>
      </c>
    </row>
    <row r="940" spans="1:49" ht="30" customHeight="1" thickTop="1">
      <c r="A940" s="199"/>
      <c r="B940" s="804" t="s">
        <v>3095</v>
      </c>
      <c r="C940" s="765"/>
      <c r="D940" s="765"/>
      <c r="E940" s="765"/>
      <c r="F940" s="765"/>
      <c r="G940" s="765"/>
      <c r="H940" s="765"/>
      <c r="I940" s="765"/>
      <c r="J940" s="765"/>
      <c r="K940" s="765"/>
      <c r="L940" s="805" t="s">
        <v>3096</v>
      </c>
      <c r="M940" s="766"/>
      <c r="N940" s="200"/>
      <c r="O940" s="199"/>
      <c r="P940" s="24"/>
      <c r="Q940" s="24"/>
      <c r="R940" s="398"/>
      <c r="S940" s="398"/>
      <c r="T940" s="398"/>
      <c r="U940" s="398"/>
      <c r="V940" s="398"/>
      <c r="W940" s="398"/>
      <c r="X940" s="398"/>
      <c r="Y940" s="398"/>
      <c r="Z940" s="398"/>
      <c r="AA940" s="398"/>
      <c r="AB940" s="200"/>
    </row>
    <row r="941" spans="1:49" ht="22.95" customHeight="1">
      <c r="A941" s="199"/>
      <c r="B941" s="780" t="s">
        <v>3013</v>
      </c>
      <c r="C941" s="774" t="s">
        <v>3012</v>
      </c>
      <c r="D941" s="774"/>
      <c r="E941" s="774"/>
      <c r="F941" s="774"/>
      <c r="G941" s="774" t="s">
        <v>3024</v>
      </c>
      <c r="H941" s="774"/>
      <c r="I941" s="774" t="s">
        <v>3017</v>
      </c>
      <c r="J941" s="775"/>
      <c r="K941" s="774"/>
      <c r="L941" s="775" t="s">
        <v>3014</v>
      </c>
      <c r="M941" s="768"/>
      <c r="N941" s="200"/>
      <c r="O941" s="199"/>
      <c r="P941" s="24"/>
      <c r="Q941" s="24"/>
      <c r="R941" s="398"/>
      <c r="S941" s="398"/>
      <c r="T941" s="398"/>
      <c r="U941" s="398"/>
      <c r="V941" s="398"/>
      <c r="W941" s="398"/>
      <c r="X941" s="398"/>
      <c r="Y941" s="398"/>
      <c r="Z941" s="398"/>
      <c r="AA941" s="398"/>
      <c r="AB941" s="200"/>
      <c r="AM941" s="786" t="s">
        <v>3003</v>
      </c>
      <c r="AO941" s="786" t="s">
        <v>3043</v>
      </c>
      <c r="AQ941" s="786" t="s">
        <v>3044</v>
      </c>
      <c r="AS941" s="786" t="s">
        <v>3045</v>
      </c>
      <c r="AU941" s="786" t="s">
        <v>3046</v>
      </c>
      <c r="AW941" s="786" t="s">
        <v>3047</v>
      </c>
    </row>
    <row r="942" spans="1:49" ht="4.95" customHeight="1" thickBot="1">
      <c r="A942" s="199"/>
      <c r="B942" s="769"/>
      <c r="C942" s="764"/>
      <c r="D942" s="773"/>
      <c r="E942" s="773"/>
      <c r="F942" s="773"/>
      <c r="G942" s="773"/>
      <c r="H942" s="773"/>
      <c r="I942" s="773"/>
      <c r="J942" s="773"/>
      <c r="K942" s="773"/>
      <c r="L942" s="773"/>
      <c r="M942" s="770"/>
      <c r="N942" s="200"/>
      <c r="O942" s="199"/>
      <c r="P942" s="24"/>
      <c r="Q942" s="24"/>
      <c r="R942" s="398"/>
      <c r="S942" s="398"/>
      <c r="T942" s="398"/>
      <c r="U942" s="398"/>
      <c r="V942" s="398"/>
      <c r="W942" s="398"/>
      <c r="X942" s="398"/>
      <c r="Y942" s="398"/>
      <c r="Z942" s="398"/>
      <c r="AA942" s="398"/>
      <c r="AB942" s="200"/>
    </row>
    <row r="943" spans="1:49" ht="19.95" customHeight="1" thickBot="1">
      <c r="A943" s="798"/>
      <c r="B943" s="1446"/>
      <c r="C943" s="1446"/>
      <c r="D943" s="1446"/>
      <c r="E943" s="1446"/>
      <c r="F943" s="1447"/>
      <c r="G943" s="1440" t="str">
        <f>AI937</f>
        <v>1 year</v>
      </c>
      <c r="H943" s="1441"/>
      <c r="I943" s="1442">
        <f>IF(B943="",0,AI938)</f>
        <v>0</v>
      </c>
      <c r="J943" s="1443"/>
      <c r="K943" s="1451">
        <f ca="1">(AK937*I943)</f>
        <v>0</v>
      </c>
      <c r="L943" s="1452"/>
      <c r="M943" s="770"/>
      <c r="N943" s="200"/>
      <c r="O943" s="199"/>
      <c r="P943" s="24"/>
      <c r="Q943" s="24"/>
      <c r="R943" s="398"/>
      <c r="S943" s="398"/>
      <c r="T943" s="398"/>
      <c r="U943" s="398"/>
      <c r="V943" s="398"/>
      <c r="W943" s="398"/>
      <c r="X943" s="398"/>
      <c r="Y943" s="398"/>
      <c r="Z943" s="398"/>
      <c r="AA943" s="398"/>
      <c r="AB943" s="200"/>
      <c r="AJ943" s="784">
        <f t="shared" ref="AJ943:AJ948" si="20">AJ$938*AK$938</f>
        <v>0</v>
      </c>
      <c r="AM943" s="787" t="s">
        <v>3048</v>
      </c>
      <c r="AN943" s="2">
        <v>0</v>
      </c>
      <c r="AO943" s="787" t="s">
        <v>3054</v>
      </c>
      <c r="AP943" s="2">
        <f>AN943</f>
        <v>0</v>
      </c>
      <c r="AQ943" s="787" t="s">
        <v>3058</v>
      </c>
      <c r="AR943" s="2">
        <f>AP943</f>
        <v>0</v>
      </c>
      <c r="AS943" s="787" t="s">
        <v>3068</v>
      </c>
      <c r="AT943" s="2">
        <f>AR943</f>
        <v>0</v>
      </c>
      <c r="AU943" s="787" t="s">
        <v>3063</v>
      </c>
      <c r="AV943" s="2">
        <f>AT943</f>
        <v>0</v>
      </c>
      <c r="AW943" s="2" t="s">
        <v>3074</v>
      </c>
    </row>
    <row r="944" spans="1:49" ht="19.95" customHeight="1">
      <c r="A944" s="199"/>
      <c r="B944" s="777" t="s">
        <v>3004</v>
      </c>
      <c r="C944" s="1459"/>
      <c r="D944" s="1460"/>
      <c r="E944" s="1460"/>
      <c r="F944" s="1461"/>
      <c r="G944" s="789"/>
      <c r="H944" s="790"/>
      <c r="I944" s="790"/>
      <c r="J944" s="791" t="str">
        <f>IF(K944&gt;0,"plus",IF(K944&lt;0,"less",""))</f>
        <v/>
      </c>
      <c r="K944" s="1457">
        <f>AI944</f>
        <v>0</v>
      </c>
      <c r="L944" s="1458"/>
      <c r="M944" s="770"/>
      <c r="N944" s="200"/>
      <c r="O944" s="199"/>
      <c r="P944" s="24"/>
      <c r="Q944" s="24"/>
      <c r="R944" s="398"/>
      <c r="S944" s="398"/>
      <c r="T944" s="398"/>
      <c r="U944" s="398"/>
      <c r="V944" s="398"/>
      <c r="W944" s="398"/>
      <c r="X944" s="398"/>
      <c r="Y944" s="398"/>
      <c r="Z944" s="398"/>
      <c r="AA944" s="398"/>
      <c r="AB944" s="200"/>
      <c r="AI944" s="788">
        <f>AJ944*AK944</f>
        <v>0</v>
      </c>
      <c r="AJ944" s="784">
        <f t="shared" si="20"/>
        <v>0</v>
      </c>
      <c r="AK944" s="2">
        <f>IF(C944=AO943,AN943,IF(C944=AO944,AN944,IF(C944=AO945,AN945,IF(C944=AO946,AN946,IF(C944=AO947,AN947,0)))))</f>
        <v>0</v>
      </c>
      <c r="AM944" s="787" t="s">
        <v>3049</v>
      </c>
      <c r="AN944" s="2">
        <v>0.1</v>
      </c>
      <c r="AO944" s="787" t="s">
        <v>3055</v>
      </c>
      <c r="AP944" s="2">
        <f>AN944</f>
        <v>0.1</v>
      </c>
      <c r="AQ944" s="787" t="s">
        <v>3059</v>
      </c>
      <c r="AR944" s="2">
        <f t="shared" ref="AR944:AV947" si="21">AP944</f>
        <v>0.1</v>
      </c>
      <c r="AS944" s="787" t="s">
        <v>3069</v>
      </c>
      <c r="AT944" s="2">
        <f t="shared" si="21"/>
        <v>0.1</v>
      </c>
      <c r="AU944" s="787" t="s">
        <v>3064</v>
      </c>
      <c r="AV944" s="2">
        <f t="shared" si="21"/>
        <v>0.1</v>
      </c>
      <c r="AW944" s="2" t="s">
        <v>3075</v>
      </c>
    </row>
    <row r="945" spans="1:49" ht="19.95" customHeight="1">
      <c r="A945" s="199"/>
      <c r="B945" s="777" t="s">
        <v>3006</v>
      </c>
      <c r="C945" s="1448"/>
      <c r="D945" s="1449"/>
      <c r="E945" s="1449"/>
      <c r="F945" s="1450"/>
      <c r="G945" s="789"/>
      <c r="H945" s="790"/>
      <c r="I945" s="790"/>
      <c r="J945" s="791" t="str">
        <f>IF(K945&gt;0,"plus",IF(K945&lt;0,"less",""))</f>
        <v/>
      </c>
      <c r="K945" s="1457">
        <f>AI945</f>
        <v>0</v>
      </c>
      <c r="L945" s="1458"/>
      <c r="M945" s="770"/>
      <c r="N945" s="200"/>
      <c r="O945" s="199"/>
      <c r="P945" s="24"/>
      <c r="Q945" s="24"/>
      <c r="R945" s="398"/>
      <c r="S945" s="398"/>
      <c r="T945" s="398"/>
      <c r="U945" s="398"/>
      <c r="V945" s="398"/>
      <c r="W945" s="398"/>
      <c r="X945" s="398"/>
      <c r="Y945" s="398"/>
      <c r="Z945" s="398"/>
      <c r="AA945" s="398"/>
      <c r="AB945" s="200"/>
      <c r="AI945" s="788">
        <f>AJ945*AK945</f>
        <v>0</v>
      </c>
      <c r="AJ945" s="784">
        <f t="shared" si="20"/>
        <v>0</v>
      </c>
      <c r="AK945" s="2">
        <f>IF(C945=AQ943,AP943,IF(C945=AQ944,AP944,IF(C945=AQ945,AP945,IF(C945=AQ946,AP946,IF(C945=AQ947,AP947,0)))))</f>
        <v>0</v>
      </c>
      <c r="AM945" s="787" t="s">
        <v>3050</v>
      </c>
      <c r="AN945" s="2">
        <v>0.2</v>
      </c>
      <c r="AO945" s="787" t="s">
        <v>3056</v>
      </c>
      <c r="AP945" s="2">
        <f>AN945</f>
        <v>0.2</v>
      </c>
      <c r="AQ945" s="787" t="s">
        <v>3060</v>
      </c>
      <c r="AR945" s="2">
        <f t="shared" si="21"/>
        <v>0.2</v>
      </c>
      <c r="AS945" s="787" t="s">
        <v>3070</v>
      </c>
      <c r="AT945" s="2">
        <f t="shared" si="21"/>
        <v>0.2</v>
      </c>
      <c r="AU945" s="787" t="s">
        <v>3065</v>
      </c>
      <c r="AV945" s="2">
        <f t="shared" si="21"/>
        <v>0.2</v>
      </c>
      <c r="AW945" s="2" t="s">
        <v>3076</v>
      </c>
    </row>
    <row r="946" spans="1:49" ht="19.95" customHeight="1">
      <c r="A946" s="199"/>
      <c r="B946" s="777" t="s">
        <v>3006</v>
      </c>
      <c r="C946" s="1448"/>
      <c r="D946" s="1449"/>
      <c r="E946" s="1449"/>
      <c r="F946" s="1450"/>
      <c r="G946" s="789"/>
      <c r="H946" s="790"/>
      <c r="I946" s="790"/>
      <c r="J946" s="791" t="str">
        <f>IF(K946&gt;0,"plus",IF(K946&lt;0,"less",""))</f>
        <v/>
      </c>
      <c r="K946" s="1457">
        <f>AI946</f>
        <v>0</v>
      </c>
      <c r="L946" s="1458"/>
      <c r="M946" s="770"/>
      <c r="N946" s="200"/>
      <c r="O946" s="199"/>
      <c r="P946" s="24"/>
      <c r="Q946" s="24"/>
      <c r="R946" s="398"/>
      <c r="S946" s="398"/>
      <c r="T946" s="398"/>
      <c r="U946" s="398"/>
      <c r="V946" s="398"/>
      <c r="W946" s="398"/>
      <c r="X946" s="398"/>
      <c r="Y946" s="398"/>
      <c r="Z946" s="398"/>
      <c r="AA946" s="398"/>
      <c r="AB946" s="200"/>
      <c r="AI946" s="788">
        <f>AJ946*AK946</f>
        <v>0</v>
      </c>
      <c r="AJ946" s="784">
        <f t="shared" si="20"/>
        <v>0</v>
      </c>
      <c r="AK946" s="2">
        <f>IF(C946=AS943,AR943,IF(C946=AS944,AR944,IF(C946=AS945,AR945,IF(C946=AS946,AR946,IF(C946=AS947,AR947,IF(C946=AS948,AR948,0))))))</f>
        <v>0</v>
      </c>
      <c r="AM946" s="787" t="s">
        <v>3051</v>
      </c>
      <c r="AN946" s="2">
        <v>0.3</v>
      </c>
      <c r="AO946" s="787" t="s">
        <v>3057</v>
      </c>
      <c r="AP946" s="2">
        <f>AN946</f>
        <v>0.3</v>
      </c>
      <c r="AQ946" s="787" t="s">
        <v>3061</v>
      </c>
      <c r="AR946" s="2">
        <f t="shared" si="21"/>
        <v>0.3</v>
      </c>
      <c r="AS946" s="787" t="s">
        <v>3071</v>
      </c>
      <c r="AT946" s="2">
        <f t="shared" si="21"/>
        <v>0.3</v>
      </c>
      <c r="AU946" s="787" t="s">
        <v>3066</v>
      </c>
      <c r="AV946" s="2">
        <f t="shared" si="21"/>
        <v>0.3</v>
      </c>
      <c r="AW946" s="2" t="s">
        <v>3077</v>
      </c>
    </row>
    <row r="947" spans="1:49" ht="19.95" customHeight="1">
      <c r="A947" s="199"/>
      <c r="B947" s="777" t="s">
        <v>3007</v>
      </c>
      <c r="C947" s="1448"/>
      <c r="D947" s="1449"/>
      <c r="E947" s="1449"/>
      <c r="F947" s="1450"/>
      <c r="G947" s="789"/>
      <c r="H947" s="790"/>
      <c r="I947" s="790"/>
      <c r="J947" s="791" t="str">
        <f>IF(K947&gt;0,"plus",IF(K947&lt;0,"less",""))</f>
        <v/>
      </c>
      <c r="K947" s="1457">
        <f>AI947</f>
        <v>0</v>
      </c>
      <c r="L947" s="1458"/>
      <c r="M947" s="770"/>
      <c r="N947" s="200"/>
      <c r="O947" s="199"/>
      <c r="P947" s="24"/>
      <c r="Q947" s="24"/>
      <c r="R947" s="398"/>
      <c r="S947" s="398"/>
      <c r="T947" s="398"/>
      <c r="U947" s="398"/>
      <c r="V947" s="398"/>
      <c r="W947" s="398"/>
      <c r="X947" s="398"/>
      <c r="Y947" s="398"/>
      <c r="Z947" s="398"/>
      <c r="AA947" s="398"/>
      <c r="AB947" s="200"/>
      <c r="AI947" s="788">
        <f>AJ947*AK947</f>
        <v>0</v>
      </c>
      <c r="AJ947" s="784">
        <f t="shared" si="20"/>
        <v>0</v>
      </c>
      <c r="AK947" s="2">
        <f>IF(C947=AU943,AT943,IF(C947=AU944,AT944,IF(C947=AU945,AT945,IF(C947=AU946,AT946,IF(C947=AU947,AT947,0)))))</f>
        <v>0</v>
      </c>
      <c r="AM947" s="787" t="s">
        <v>3052</v>
      </c>
      <c r="AN947" s="2">
        <v>0.4</v>
      </c>
      <c r="AO947" s="787" t="s">
        <v>3086</v>
      </c>
      <c r="AP947" s="2">
        <f>AN947</f>
        <v>0.4</v>
      </c>
      <c r="AQ947" s="787" t="s">
        <v>3062</v>
      </c>
      <c r="AR947" s="2">
        <f t="shared" si="21"/>
        <v>0.4</v>
      </c>
      <c r="AS947" s="787" t="s">
        <v>3072</v>
      </c>
      <c r="AT947" s="2">
        <f t="shared" si="21"/>
        <v>0.4</v>
      </c>
      <c r="AU947" s="787" t="s">
        <v>3067</v>
      </c>
      <c r="AV947" s="2">
        <f t="shared" si="21"/>
        <v>0.4</v>
      </c>
      <c r="AW947" s="2" t="s">
        <v>3092</v>
      </c>
    </row>
    <row r="948" spans="1:49" ht="19.95" customHeight="1">
      <c r="A948" s="199"/>
      <c r="B948" s="777" t="s">
        <v>3008</v>
      </c>
      <c r="C948" s="1448"/>
      <c r="D948" s="1449"/>
      <c r="E948" s="1449"/>
      <c r="F948" s="1450"/>
      <c r="G948" s="789"/>
      <c r="H948" s="790"/>
      <c r="I948" s="790"/>
      <c r="J948" s="791" t="str">
        <f>IF(K948&gt;0,"plus",IF(K948&lt;0,"less",""))</f>
        <v/>
      </c>
      <c r="K948" s="1457">
        <f>AI948</f>
        <v>0</v>
      </c>
      <c r="L948" s="1458"/>
      <c r="M948" s="770"/>
      <c r="N948" s="200"/>
      <c r="O948" s="199"/>
      <c r="P948" s="24"/>
      <c r="Q948" s="24"/>
      <c r="R948" s="398"/>
      <c r="S948" s="398"/>
      <c r="T948" s="398"/>
      <c r="U948" s="398"/>
      <c r="V948" s="398"/>
      <c r="W948" s="398"/>
      <c r="X948" s="398"/>
      <c r="Y948" s="398"/>
      <c r="Z948" s="398"/>
      <c r="AA948" s="398"/>
      <c r="AB948" s="200"/>
      <c r="AI948" s="788">
        <f>AJ948*AK948</f>
        <v>0</v>
      </c>
      <c r="AJ948" s="784">
        <f t="shared" si="20"/>
        <v>0</v>
      </c>
      <c r="AK948" s="2">
        <f>IF(C948=AW943,AV943,IF(C948=AW944,AV944,IF(C948=AW945,AV945,IF(C948=AW946,AV946,IF(C948=AW947,AV947,0)))))</f>
        <v>0</v>
      </c>
      <c r="AM948" s="787" t="s">
        <v>3053</v>
      </c>
      <c r="AR948" s="2">
        <f>AR944+AR947</f>
        <v>0.5</v>
      </c>
      <c r="AS948" s="787" t="s">
        <v>3073</v>
      </c>
    </row>
    <row r="949" spans="1:49" ht="19.95" customHeight="1">
      <c r="A949" s="199"/>
      <c r="B949" s="776" t="s">
        <v>3078</v>
      </c>
      <c r="C949" s="763"/>
      <c r="D949" s="763"/>
      <c r="E949" s="763"/>
      <c r="F949" s="763"/>
      <c r="G949" s="774"/>
      <c r="H949" s="764"/>
      <c r="I949" s="772"/>
      <c r="J949" s="794" t="s">
        <v>3015</v>
      </c>
      <c r="K949" s="1451">
        <f ca="1">(AK937*I943)+SUM(K944:L948)</f>
        <v>0</v>
      </c>
      <c r="L949" s="1452"/>
      <c r="M949" s="770"/>
      <c r="N949" s="200"/>
      <c r="O949" s="199"/>
      <c r="P949" s="24"/>
      <c r="Q949" s="24"/>
      <c r="R949" s="398"/>
      <c r="S949" s="398"/>
      <c r="T949" s="398"/>
      <c r="U949" s="398"/>
      <c r="V949" s="398"/>
      <c r="W949" s="398"/>
      <c r="X949" s="398"/>
      <c r="Y949" s="398"/>
      <c r="Z949" s="398"/>
      <c r="AA949" s="398"/>
      <c r="AB949" s="200"/>
      <c r="AM949" s="787"/>
      <c r="AQ949" s="786" t="s">
        <v>3031</v>
      </c>
      <c r="AS949" s="786" t="s">
        <v>3032</v>
      </c>
      <c r="AU949" s="786" t="s">
        <v>3030</v>
      </c>
      <c r="AW949" s="786" t="s">
        <v>3033</v>
      </c>
    </row>
    <row r="950" spans="1:49" ht="19.95" customHeight="1">
      <c r="A950" s="199"/>
      <c r="B950" s="777" t="s">
        <v>3005</v>
      </c>
      <c r="C950" s="1448"/>
      <c r="D950" s="1449"/>
      <c r="E950" s="1449"/>
      <c r="F950" s="1450"/>
      <c r="G950" s="789"/>
      <c r="H950" s="790"/>
      <c r="I950" s="790"/>
      <c r="J950" s="791" t="str">
        <f ca="1">IF(K950&gt;0,"plus",IF(K950&lt;0,"less",""))</f>
        <v/>
      </c>
      <c r="K950" s="1457">
        <f ca="1">AI950</f>
        <v>0</v>
      </c>
      <c r="L950" s="1458"/>
      <c r="M950" s="770"/>
      <c r="N950" s="200"/>
      <c r="O950" s="199"/>
      <c r="P950" s="24"/>
      <c r="Q950" s="24"/>
      <c r="R950" s="398"/>
      <c r="S950" s="398"/>
      <c r="T950" s="398"/>
      <c r="U950" s="398"/>
      <c r="V950" s="398"/>
      <c r="W950" s="398"/>
      <c r="X950" s="398"/>
      <c r="Y950" s="398"/>
      <c r="Z950" s="398"/>
      <c r="AA950" s="398"/>
      <c r="AB950" s="200"/>
      <c r="AI950" s="788">
        <f ca="1">IF(AND(C952=AU955,C953=AW953),0,AJ950*AK950)</f>
        <v>0</v>
      </c>
      <c r="AJ950" s="793">
        <f ca="1">K$949</f>
        <v>0</v>
      </c>
      <c r="AK950" s="2">
        <f>IF(C950=AQ950,AP950,IF(C950=AQ951,AP951,IF(C950=AQ952,AP952,IF(C950=AQ953,AP953,0))))</f>
        <v>0</v>
      </c>
      <c r="AM950" s="787"/>
      <c r="AP950" s="2">
        <v>0.2</v>
      </c>
      <c r="AQ950" s="2" t="s">
        <v>3035</v>
      </c>
      <c r="AR950" s="2">
        <v>0.1</v>
      </c>
      <c r="AS950" s="46" t="s">
        <v>2559</v>
      </c>
      <c r="AT950" s="2">
        <v>0.8</v>
      </c>
      <c r="AU950" s="2" t="s">
        <v>2561</v>
      </c>
      <c r="AV950" s="2">
        <v>0.5</v>
      </c>
      <c r="AW950" s="142" t="s">
        <v>2561</v>
      </c>
    </row>
    <row r="951" spans="1:49" ht="19.95" customHeight="1">
      <c r="A951" s="199"/>
      <c r="B951" s="777" t="s">
        <v>3009</v>
      </c>
      <c r="C951" s="1448"/>
      <c r="D951" s="1449"/>
      <c r="E951" s="1449"/>
      <c r="F951" s="1450"/>
      <c r="G951" s="789"/>
      <c r="H951" s="790"/>
      <c r="I951" s="790"/>
      <c r="J951" s="791" t="str">
        <f ca="1">IF(K951&gt;0,"plus",IF(K951&lt;0,"less",""))</f>
        <v/>
      </c>
      <c r="K951" s="1457">
        <f ca="1">AI951</f>
        <v>0</v>
      </c>
      <c r="L951" s="1458"/>
      <c r="M951" s="770"/>
      <c r="N951" s="200"/>
      <c r="O951" s="199"/>
      <c r="P951" s="24"/>
      <c r="Q951" s="24"/>
      <c r="R951" s="398"/>
      <c r="S951" s="398"/>
      <c r="T951" s="398"/>
      <c r="U951" s="398"/>
      <c r="V951" s="398"/>
      <c r="W951" s="398"/>
      <c r="X951" s="398"/>
      <c r="Y951" s="398"/>
      <c r="Z951" s="398"/>
      <c r="AA951" s="398"/>
      <c r="AB951" s="200"/>
      <c r="AI951" s="788">
        <f ca="1">IF(AND(C952=AU955,C953=AW953),0,AJ951*AK951)</f>
        <v>0</v>
      </c>
      <c r="AJ951" s="793">
        <f ca="1">K$949</f>
        <v>0</v>
      </c>
      <c r="AK951" s="2">
        <f>IF(C951=AS950,AR950,IF(C951=AS951,AR951,IF(C951=AS952,AR952,IF(C951=AS953,AR953,0))))</f>
        <v>0</v>
      </c>
      <c r="AP951" s="2">
        <v>-0.05</v>
      </c>
      <c r="AQ951" s="2" t="s">
        <v>3036</v>
      </c>
      <c r="AR951" s="2">
        <v>-1E-3</v>
      </c>
      <c r="AS951" s="46" t="s">
        <v>2438</v>
      </c>
      <c r="AT951" s="2">
        <v>0.6</v>
      </c>
      <c r="AU951" s="2" t="s">
        <v>3042</v>
      </c>
      <c r="AV951" s="2">
        <v>-0.25</v>
      </c>
      <c r="AW951" s="142" t="s">
        <v>2562</v>
      </c>
    </row>
    <row r="952" spans="1:49" ht="19.95" customHeight="1">
      <c r="A952" s="199"/>
      <c r="B952" s="777" t="s">
        <v>3010</v>
      </c>
      <c r="C952" s="1448"/>
      <c r="D952" s="1449"/>
      <c r="E952" s="1449"/>
      <c r="F952" s="1450"/>
      <c r="G952" s="789"/>
      <c r="H952" s="790"/>
      <c r="I952" s="790"/>
      <c r="J952" s="791" t="str">
        <f ca="1">IF(K952&gt;0,"plus",IF(K952&lt;0,"less",""))</f>
        <v/>
      </c>
      <c r="K952" s="1457">
        <f ca="1">AI952</f>
        <v>0</v>
      </c>
      <c r="L952" s="1458"/>
      <c r="M952" s="770"/>
      <c r="N952" s="200"/>
      <c r="O952" s="199"/>
      <c r="P952" s="24"/>
      <c r="Q952" s="24"/>
      <c r="R952" s="398"/>
      <c r="S952" s="398"/>
      <c r="T952" s="398"/>
      <c r="U952" s="398"/>
      <c r="V952" s="398"/>
      <c r="W952" s="398"/>
      <c r="X952" s="398"/>
      <c r="Y952" s="398"/>
      <c r="Z952" s="398"/>
      <c r="AA952" s="398"/>
      <c r="AB952" s="200"/>
      <c r="AI952" s="788">
        <f ca="1">AJ952*AK952</f>
        <v>0</v>
      </c>
      <c r="AJ952" s="793">
        <f ca="1">K$949</f>
        <v>0</v>
      </c>
      <c r="AK952" s="2">
        <f>IF(C952=AU950,AT950,IF(C952=AU951,AT951,IF(C952=AU952,AT952,IF(C952=AU953,AT953,IF(C952=AU954,AT954,IF(C952=AU955,AT955,0))))))</f>
        <v>0</v>
      </c>
      <c r="AP952" s="2">
        <v>-0.1</v>
      </c>
      <c r="AQ952" s="2" t="s">
        <v>3034</v>
      </c>
      <c r="AR952" s="2">
        <v>-5.0000000000000001E-3</v>
      </c>
      <c r="AS952" s="46" t="s">
        <v>2560</v>
      </c>
      <c r="AT952" s="2">
        <v>0.4</v>
      </c>
      <c r="AU952" s="2" t="s">
        <v>3038</v>
      </c>
      <c r="AV952" s="2">
        <v>-0.5</v>
      </c>
      <c r="AW952" s="142" t="s">
        <v>2545</v>
      </c>
    </row>
    <row r="953" spans="1:49" ht="19.95" customHeight="1">
      <c r="A953" s="199"/>
      <c r="B953" s="777" t="s">
        <v>3011</v>
      </c>
      <c r="C953" s="1448"/>
      <c r="D953" s="1449"/>
      <c r="E953" s="1449"/>
      <c r="F953" s="1450"/>
      <c r="G953" s="789"/>
      <c r="H953" s="790"/>
      <c r="I953" s="790"/>
      <c r="J953" s="791" t="str">
        <f ca="1">IF(K953&gt;0,"plus",IF(K953&lt;0,"less",""))</f>
        <v/>
      </c>
      <c r="K953" s="1457">
        <f ca="1">AI953</f>
        <v>0</v>
      </c>
      <c r="L953" s="1458"/>
      <c r="M953" s="770"/>
      <c r="N953" s="200"/>
      <c r="O953" s="199"/>
      <c r="P953" s="24"/>
      <c r="Q953" s="24"/>
      <c r="R953" s="398"/>
      <c r="S953" s="398"/>
      <c r="T953" s="398"/>
      <c r="U953" s="398"/>
      <c r="V953" s="398"/>
      <c r="W953" s="398"/>
      <c r="X953" s="398"/>
      <c r="Y953" s="398"/>
      <c r="Z953" s="398"/>
      <c r="AA953" s="398"/>
      <c r="AB953" s="200"/>
      <c r="AI953" s="788">
        <f ca="1">AJ953*AK953</f>
        <v>0</v>
      </c>
      <c r="AJ953" s="793">
        <f ca="1">K$949</f>
        <v>0</v>
      </c>
      <c r="AK953" s="2">
        <f>IF(C953=AW950,AV950,IF(C953=AW951,AV951,IF(C953=AW952,AV952,IF(C953=AW953,AV953,0))))</f>
        <v>0</v>
      </c>
      <c r="AP953" s="2">
        <v>0</v>
      </c>
      <c r="AQ953" s="2" t="s">
        <v>1363</v>
      </c>
      <c r="AR953" s="2">
        <v>0</v>
      </c>
      <c r="AS953" s="2" t="s">
        <v>3037</v>
      </c>
      <c r="AT953" s="2">
        <v>0.2</v>
      </c>
      <c r="AU953" s="2" t="s">
        <v>3041</v>
      </c>
      <c r="AV953" s="2">
        <v>-0.75</v>
      </c>
      <c r="AW953" s="142" t="s">
        <v>2563</v>
      </c>
    </row>
    <row r="954" spans="1:49" ht="4.95" customHeight="1">
      <c r="A954" s="199"/>
      <c r="B954" s="767"/>
      <c r="C954" s="763"/>
      <c r="D954" s="763"/>
      <c r="E954" s="763"/>
      <c r="F954" s="763"/>
      <c r="G954" s="763"/>
      <c r="H954" s="764"/>
      <c r="I954" s="764"/>
      <c r="J954" s="764"/>
      <c r="K954" s="764"/>
      <c r="L954" s="764"/>
      <c r="M954" s="764"/>
      <c r="N954" s="200"/>
      <c r="O954" s="199"/>
      <c r="P954" s="24"/>
      <c r="Q954" s="24"/>
      <c r="R954" s="398"/>
      <c r="S954" s="398"/>
      <c r="T954" s="398"/>
      <c r="U954" s="398"/>
      <c r="V954" s="398"/>
      <c r="W954" s="398"/>
      <c r="X954" s="398"/>
      <c r="Y954" s="398"/>
      <c r="Z954" s="398"/>
      <c r="AA954" s="398"/>
      <c r="AB954" s="200"/>
      <c r="AT954" s="2">
        <v>-0.1</v>
      </c>
      <c r="AU954" s="2" t="s">
        <v>3039</v>
      </c>
    </row>
    <row r="955" spans="1:49" ht="19.95" customHeight="1" thickBot="1">
      <c r="A955" s="199"/>
      <c r="B955" s="776" t="s">
        <v>3016</v>
      </c>
      <c r="C955" s="763"/>
      <c r="D955" s="763"/>
      <c r="E955" s="763"/>
      <c r="F955" s="763"/>
      <c r="G955" s="763"/>
      <c r="H955" s="764"/>
      <c r="I955" s="764"/>
      <c r="J955" s="795" t="s">
        <v>3081</v>
      </c>
      <c r="K955" s="1463" t="str">
        <f ca="1">AI955</f>
        <v>$0.00</v>
      </c>
      <c r="L955" s="1464"/>
      <c r="M955" s="770"/>
      <c r="N955" s="200"/>
      <c r="O955" s="199"/>
      <c r="P955" s="24"/>
      <c r="Q955" s="24"/>
      <c r="R955" s="398"/>
      <c r="S955" s="398"/>
      <c r="T955" s="398"/>
      <c r="U955" s="398"/>
      <c r="V955" s="398"/>
      <c r="W955" s="398"/>
      <c r="X955" s="398"/>
      <c r="Y955" s="398"/>
      <c r="Z955" s="398"/>
      <c r="AA955" s="398"/>
      <c r="AB955" s="200"/>
      <c r="AI955" s="797" t="str">
        <f ca="1">IF(AJ955=0,"$0.00",AJ955)</f>
        <v>$0.00</v>
      </c>
      <c r="AJ955" s="792">
        <f ca="1">K949+K950+K951+K952+K953</f>
        <v>0</v>
      </c>
      <c r="AT955" s="2">
        <v>-0.25</v>
      </c>
      <c r="AU955" s="2" t="s">
        <v>3040</v>
      </c>
    </row>
    <row r="956" spans="1:49" ht="19.95" customHeight="1" thickBot="1">
      <c r="A956" s="199"/>
      <c r="B956" s="776"/>
      <c r="C956" s="763"/>
      <c r="D956" s="763"/>
      <c r="E956" s="763"/>
      <c r="F956" s="763"/>
      <c r="G956" s="763"/>
      <c r="H956" s="763"/>
      <c r="I956" s="763"/>
      <c r="J956" s="795" t="s">
        <v>3093</v>
      </c>
      <c r="K956" s="1465"/>
      <c r="L956" s="1466"/>
      <c r="M956" s="770"/>
      <c r="N956" s="200"/>
      <c r="O956" s="199"/>
      <c r="P956" s="24"/>
      <c r="Q956" s="24"/>
      <c r="R956" s="398"/>
      <c r="S956" s="398"/>
      <c r="T956" s="398"/>
      <c r="U956" s="398"/>
      <c r="V956" s="398"/>
      <c r="W956" s="398"/>
      <c r="X956" s="398"/>
      <c r="Y956" s="398"/>
      <c r="Z956" s="398"/>
      <c r="AA956" s="398"/>
      <c r="AB956" s="200"/>
      <c r="AI956" s="905" t="s">
        <v>3018</v>
      </c>
    </row>
    <row r="957" spans="1:49" ht="19.95" customHeight="1">
      <c r="A957" s="199"/>
      <c r="B957" s="776"/>
      <c r="C957" s="763"/>
      <c r="D957" s="763"/>
      <c r="E957" s="763"/>
      <c r="F957" s="763"/>
      <c r="G957" s="763"/>
      <c r="H957" s="764"/>
      <c r="I957" s="764"/>
      <c r="J957" s="796" t="str">
        <f>IF(C953="","TOTAL",AI957)</f>
        <v>TOTAL</v>
      </c>
      <c r="K957" s="1467">
        <f ca="1">IF(AND(C952=AU955,C953=AW953),"$0.00",K955-K956)</f>
        <v>0</v>
      </c>
      <c r="L957" s="1468"/>
      <c r="M957" s="770"/>
      <c r="N957" s="200"/>
      <c r="O957" s="199"/>
      <c r="P957" s="24"/>
      <c r="Q957" s="24"/>
      <c r="R957" s="398"/>
      <c r="S957" s="398"/>
      <c r="T957" s="398"/>
      <c r="U957" s="398"/>
      <c r="V957" s="398"/>
      <c r="W957" s="398"/>
      <c r="X957" s="398"/>
      <c r="Y957" s="398"/>
      <c r="Z957" s="398"/>
      <c r="AA957" s="398"/>
      <c r="AB957" s="200"/>
      <c r="AI957" s="46" t="str">
        <f ca="1">IF(K957&lt;0.00001,AL957,AM957)</f>
        <v>With recipient's cooperation, no amount is directly billed.</v>
      </c>
      <c r="AL957" s="46" t="s">
        <v>3079</v>
      </c>
      <c r="AM957" s="46" t="s">
        <v>3080</v>
      </c>
    </row>
    <row r="958" spans="1:49" ht="19.95" customHeight="1">
      <c r="A958" s="199"/>
      <c r="B958" s="767"/>
      <c r="C958" s="763"/>
      <c r="D958" s="763"/>
      <c r="E958" s="763"/>
      <c r="F958" s="763"/>
      <c r="G958" s="763"/>
      <c r="H958" s="764"/>
      <c r="I958" s="764"/>
      <c r="J958" s="764"/>
      <c r="K958" s="764"/>
      <c r="L958" s="764"/>
      <c r="M958" s="770"/>
      <c r="N958" s="200"/>
      <c r="O958" s="199"/>
      <c r="P958" s="24"/>
      <c r="Q958" s="24"/>
      <c r="R958" s="398"/>
      <c r="S958" s="398"/>
      <c r="T958" s="398"/>
      <c r="U958" s="398"/>
      <c r="V958" s="398"/>
      <c r="W958" s="398"/>
      <c r="X958" s="398"/>
      <c r="Y958" s="398"/>
      <c r="Z958" s="398"/>
      <c r="AA958" s="398"/>
      <c r="AB958" s="200"/>
    </row>
    <row r="959" spans="1:49" ht="19.95" customHeight="1">
      <c r="A959" s="199"/>
      <c r="B959" s="1476" t="str">
        <f ca="1">AI959</f>
        <v>This is not a literal invoice. It sybolically bills powerholders in power relations (i.e., ascribed impactors) to illuminate the hidden costs of coercive power. They receive the value of vital data for improving their impact on vulnerable others.</v>
      </c>
      <c r="C959" s="1477"/>
      <c r="D959" s="1477"/>
      <c r="E959" s="1477"/>
      <c r="F959" s="1477"/>
      <c r="G959" s="1477"/>
      <c r="H959" s="1477"/>
      <c r="I959" s="1477"/>
      <c r="J959" s="1477"/>
      <c r="K959" s="1477"/>
      <c r="L959" s="1477"/>
      <c r="M959" s="770"/>
      <c r="N959" s="200"/>
      <c r="O959" s="199"/>
      <c r="P959" s="24"/>
      <c r="Q959" s="24"/>
      <c r="R959" s="398"/>
      <c r="S959" s="398"/>
      <c r="T959" s="398"/>
      <c r="U959" s="398"/>
      <c r="V959" s="398"/>
      <c r="W959" s="398"/>
      <c r="X959" s="398"/>
      <c r="Y959" s="398"/>
      <c r="Z959" s="398"/>
      <c r="AA959" s="398"/>
      <c r="AB959" s="200"/>
      <c r="AI959" s="2" t="str">
        <f ca="1">IF(K955="$0.00",AM961,AK959)</f>
        <v>This is not a literal invoice. It sybolically bills powerholders in power relations (i.e., ascribed impactors) to illuminate the hidden costs of coercive power. They receive the value of vital data for improving their impact on vulnerable others.</v>
      </c>
      <c r="AK959" s="2" t="str">
        <f>IF(C950=AQ950,AM959,AM960)</f>
        <v>The recipient can sponsor the sender's need-resolving cause. Or become a patron to the cause. Each recipient outbids the others to earn the privilege as lead investor. The leading patron must qualify for competitive legitimacy.</v>
      </c>
      <c r="AM959" s="46" t="s">
        <v>3082</v>
      </c>
    </row>
    <row r="960" spans="1:49" ht="19.95" customHeight="1">
      <c r="A960" s="199"/>
      <c r="B960" s="1476"/>
      <c r="C960" s="1477"/>
      <c r="D960" s="1477"/>
      <c r="E960" s="1477"/>
      <c r="F960" s="1477"/>
      <c r="G960" s="1477"/>
      <c r="H960" s="1477"/>
      <c r="I960" s="1477"/>
      <c r="J960" s="1477"/>
      <c r="K960" s="1477"/>
      <c r="L960" s="1477"/>
      <c r="M960" s="770"/>
      <c r="N960" s="200"/>
      <c r="O960" s="199"/>
      <c r="P960" s="24"/>
      <c r="Q960" s="24"/>
      <c r="R960" s="398"/>
      <c r="S960" s="398"/>
      <c r="T960" s="398"/>
      <c r="U960" s="398"/>
      <c r="V960" s="398"/>
      <c r="W960" s="398"/>
      <c r="X960" s="398"/>
      <c r="Y960" s="398"/>
      <c r="Z960" s="398"/>
      <c r="AA960" s="398"/>
      <c r="AB960" s="200"/>
      <c r="AJ960" s="803" t="s">
        <v>3088</v>
      </c>
      <c r="AM960" s="46" t="s">
        <v>3083</v>
      </c>
    </row>
    <row r="961" spans="1:41" ht="19.95" customHeight="1" thickBot="1">
      <c r="A961" s="199"/>
      <c r="B961" s="1476"/>
      <c r="C961" s="1477"/>
      <c r="D961" s="1477"/>
      <c r="E961" s="1477"/>
      <c r="F961" s="1477"/>
      <c r="G961" s="1477"/>
      <c r="H961" s="1477"/>
      <c r="I961" s="1477"/>
      <c r="J961" s="1477"/>
      <c r="K961" s="1477"/>
      <c r="L961" s="1477"/>
      <c r="M961" s="770"/>
      <c r="N961" s="200"/>
      <c r="O961" s="199"/>
      <c r="P961" s="24"/>
      <c r="Q961" s="24"/>
      <c r="R961" s="398"/>
      <c r="S961" s="398"/>
      <c r="T961" s="398"/>
      <c r="U961" s="398"/>
      <c r="V961" s="398"/>
      <c r="W961" s="398"/>
      <c r="X961" s="398"/>
      <c r="Y961" s="398"/>
      <c r="Z961" s="398"/>
      <c r="AA961" s="398"/>
      <c r="AB961" s="200"/>
      <c r="AJ961" s="803" t="s">
        <v>3089</v>
      </c>
      <c r="AM961" s="46" t="s">
        <v>3084</v>
      </c>
    </row>
    <row r="962" spans="1:41" ht="19.95" customHeight="1" thickBot="1">
      <c r="A962" s="199"/>
      <c r="B962" s="1476" t="str">
        <f>AI962</f>
        <v xml:space="preserve">I, the sending Reporting Impactee, verify the accuracy of this invoice to the best of my knowledge. I do not expect to ever receive the billed amount, but to demonstrate the value I am coerced to forfeit to another who has some power over me. </v>
      </c>
      <c r="C962" s="1477"/>
      <c r="D962" s="1477"/>
      <c r="E962" s="1477"/>
      <c r="F962" s="1477"/>
      <c r="G962" s="1477"/>
      <c r="H962" s="1477"/>
      <c r="I962" s="1477"/>
      <c r="J962" s="1477"/>
      <c r="K962" s="1480"/>
      <c r="L962" s="1481"/>
      <c r="M962" s="770"/>
      <c r="N962" s="200"/>
      <c r="O962" s="199"/>
      <c r="P962" s="24"/>
      <c r="Q962" s="24"/>
      <c r="R962" s="398"/>
      <c r="S962" s="398"/>
      <c r="T962" s="398"/>
      <c r="U962" s="398"/>
      <c r="V962" s="398"/>
      <c r="W962" s="398"/>
      <c r="X962" s="398"/>
      <c r="Y962" s="398"/>
      <c r="Z962" s="398"/>
      <c r="AA962" s="398"/>
      <c r="AB962" s="200"/>
      <c r="AI962" s="2" t="str">
        <f>IF(K962=AJ960,AK962,IF(K962=AJ961,AK963,AK962))</f>
        <v xml:space="preserve">I, the sending Reporting Impactee, verify the accuracy of this invoice to the best of my knowledge. I do not expect to ever receive the billed amount, but to demonstrate the value I am coerced to forfeit to another who has some power over me. </v>
      </c>
      <c r="AK962" s="46" t="s">
        <v>3087</v>
      </c>
      <c r="AM962" s="46"/>
    </row>
    <row r="963" spans="1:41" ht="19.95" customHeight="1">
      <c r="A963" s="199"/>
      <c r="B963" s="1476"/>
      <c r="C963" s="1477"/>
      <c r="D963" s="1477"/>
      <c r="E963" s="1477"/>
      <c r="F963" s="1477"/>
      <c r="G963" s="1477"/>
      <c r="H963" s="1477"/>
      <c r="I963" s="1477"/>
      <c r="J963" s="1477"/>
      <c r="K963" s="801"/>
      <c r="L963" s="802" t="s">
        <v>3091</v>
      </c>
      <c r="M963" s="770"/>
      <c r="N963" s="200"/>
      <c r="O963" s="199"/>
      <c r="P963" s="24"/>
      <c r="Q963" s="24"/>
      <c r="R963" s="398"/>
      <c r="S963" s="398"/>
      <c r="T963" s="398"/>
      <c r="U963" s="398"/>
      <c r="V963" s="398"/>
      <c r="W963" s="398"/>
      <c r="X963" s="398"/>
      <c r="Y963" s="398"/>
      <c r="Z963" s="398"/>
      <c r="AA963" s="398"/>
      <c r="AB963" s="200"/>
      <c r="AK963" s="46" t="s">
        <v>3094</v>
      </c>
    </row>
    <row r="964" spans="1:41" ht="24" customHeight="1" thickBot="1">
      <c r="A964" s="199"/>
      <c r="B964" s="1478"/>
      <c r="C964" s="1479"/>
      <c r="D964" s="1479"/>
      <c r="E964" s="1479"/>
      <c r="F964" s="1479"/>
      <c r="G964" s="1479"/>
      <c r="H964" s="1479"/>
      <c r="I964" s="1479"/>
      <c r="J964" s="1479"/>
      <c r="K964" s="800" t="str">
        <f>AI964</f>
        <v/>
      </c>
      <c r="L964" s="799"/>
      <c r="M964" s="771"/>
      <c r="N964" s="200"/>
      <c r="O964" s="199"/>
      <c r="P964" s="24"/>
      <c r="Q964" s="24"/>
      <c r="R964" s="398"/>
      <c r="S964" s="398"/>
      <c r="T964" s="398"/>
      <c r="U964" s="398"/>
      <c r="V964" s="398"/>
      <c r="W964" s="398"/>
      <c r="X964" s="398"/>
      <c r="Y964" s="398"/>
      <c r="Z964" s="398"/>
      <c r="AA964" s="398"/>
      <c r="AB964" s="200"/>
      <c r="AI964" s="2" t="str">
        <f>IF(K962=AJ960,AK964,"")</f>
        <v/>
      </c>
      <c r="AK964" s="2" t="s">
        <v>3090</v>
      </c>
    </row>
    <row r="965" spans="1:41" ht="10.050000000000001" customHeight="1" thickTop="1">
      <c r="A965" s="201"/>
      <c r="B965" s="202"/>
      <c r="C965" s="202"/>
      <c r="D965" s="202"/>
      <c r="E965" s="202"/>
      <c r="F965" s="202"/>
      <c r="G965" s="202"/>
      <c r="H965" s="202"/>
      <c r="I965" s="202"/>
      <c r="J965" s="202"/>
      <c r="K965" s="202"/>
      <c r="L965" s="202"/>
      <c r="M965" s="202"/>
      <c r="N965" s="200"/>
      <c r="O965" s="199"/>
      <c r="P965" s="202"/>
      <c r="Q965" s="202"/>
      <c r="R965" s="202"/>
      <c r="S965" s="202"/>
      <c r="T965" s="202"/>
      <c r="U965" s="202"/>
      <c r="V965" s="202"/>
      <c r="W965" s="202"/>
      <c r="X965" s="202"/>
      <c r="Y965" s="202"/>
      <c r="Z965" s="202"/>
      <c r="AA965" s="202"/>
      <c r="AB965" s="203"/>
    </row>
    <row r="966" spans="1:41" ht="30" customHeight="1">
      <c r="A966" s="210" t="s">
        <v>1148</v>
      </c>
      <c r="B966" s="399" t="s">
        <v>3097</v>
      </c>
      <c r="C966" s="582"/>
      <c r="D966" s="582"/>
      <c r="E966" s="583"/>
      <c r="F966" s="584"/>
      <c r="G966" s="582"/>
      <c r="H966" s="582"/>
      <c r="I966" s="582"/>
      <c r="J966" s="582"/>
      <c r="K966" s="582"/>
      <c r="L966" s="373"/>
      <c r="M966" s="373"/>
      <c r="N966" s="211" t="s">
        <v>1149</v>
      </c>
      <c r="O966" s="372"/>
      <c r="P966" s="396" t="s">
        <v>1273</v>
      </c>
      <c r="Q966" s="373"/>
      <c r="R966" s="373"/>
      <c r="S966" s="373"/>
      <c r="T966" s="373"/>
      <c r="U966" s="373"/>
      <c r="V966" s="373"/>
      <c r="W966" s="373"/>
      <c r="X966" s="373"/>
      <c r="Y966" s="373"/>
      <c r="Z966" s="373"/>
      <c r="AA966" s="373"/>
      <c r="AB966" s="211" t="s">
        <v>1149</v>
      </c>
    </row>
    <row r="967" spans="1:41" ht="10.050000000000001" customHeight="1">
      <c r="A967" s="199"/>
      <c r="B967" s="24"/>
      <c r="C967" s="24"/>
      <c r="D967" s="24"/>
      <c r="E967" s="24"/>
      <c r="F967" s="24"/>
      <c r="G967" s="24"/>
      <c r="H967" s="24"/>
      <c r="I967" s="24"/>
      <c r="J967" s="24"/>
      <c r="K967" s="24"/>
      <c r="L967" s="24"/>
      <c r="M967" s="24"/>
      <c r="N967" s="200"/>
      <c r="O967" s="199"/>
      <c r="P967" s="24"/>
      <c r="Q967" s="24"/>
      <c r="R967" s="398"/>
      <c r="S967" s="398"/>
      <c r="T967" s="398"/>
      <c r="U967" s="398"/>
      <c r="V967" s="398"/>
      <c r="W967" s="398"/>
      <c r="X967" s="398"/>
      <c r="Y967" s="398"/>
      <c r="Z967" s="398"/>
      <c r="AA967" s="398"/>
      <c r="AB967" s="200"/>
    </row>
    <row r="968" spans="1:41" ht="19.95" customHeight="1">
      <c r="A968" s="199"/>
      <c r="B968" s="720" t="s">
        <v>3099</v>
      </c>
      <c r="C968" s="586"/>
      <c r="D968" s="586"/>
      <c r="E968" s="586"/>
      <c r="F968" s="586"/>
      <c r="G968" s="586"/>
      <c r="H968" s="586"/>
      <c r="I968" s="586"/>
      <c r="J968" s="586"/>
      <c r="K968" s="586"/>
      <c r="L968" s="586"/>
      <c r="M968" s="24"/>
      <c r="N968" s="200"/>
      <c r="O968" s="199"/>
      <c r="P968" s="720"/>
      <c r="Q968" s="24"/>
      <c r="R968" s="398"/>
      <c r="S968" s="398"/>
      <c r="T968" s="398"/>
      <c r="U968" s="398"/>
      <c r="V968" s="398"/>
      <c r="W968" s="398"/>
      <c r="X968" s="398"/>
      <c r="Y968" s="398"/>
      <c r="Z968" s="398"/>
      <c r="AA968" s="398"/>
      <c r="AB968" s="200"/>
    </row>
    <row r="969" spans="1:41" ht="4.95" customHeight="1">
      <c r="A969" s="199"/>
      <c r="B969" s="24"/>
      <c r="C969" s="24"/>
      <c r="D969" s="24"/>
      <c r="E969" s="24"/>
      <c r="F969" s="24"/>
      <c r="G969" s="24"/>
      <c r="H969" s="24"/>
      <c r="I969" s="24"/>
      <c r="J969" s="24"/>
      <c r="K969" s="24"/>
      <c r="L969" s="24"/>
      <c r="M969" s="24"/>
      <c r="N969" s="200"/>
      <c r="O969" s="199"/>
      <c r="P969" s="24"/>
      <c r="Q969" s="24"/>
      <c r="R969" s="398"/>
      <c r="S969" s="398"/>
      <c r="T969" s="398"/>
      <c r="U969" s="398"/>
      <c r="V969" s="398"/>
      <c r="W969" s="398"/>
      <c r="X969" s="398"/>
      <c r="Y969" s="398"/>
      <c r="Z969" s="398"/>
      <c r="AA969" s="398"/>
      <c r="AB969" s="200"/>
    </row>
    <row r="970" spans="1:41" ht="19.95" customHeight="1">
      <c r="A970" s="199"/>
      <c r="B970" s="603"/>
      <c r="C970" s="603"/>
      <c r="D970" s="603"/>
      <c r="E970" s="603"/>
      <c r="F970" s="603"/>
      <c r="G970" s="603"/>
      <c r="H970" s="603"/>
      <c r="I970" s="603"/>
      <c r="J970" s="603"/>
      <c r="K970" s="603"/>
      <c r="L970" s="603"/>
      <c r="M970" s="603"/>
      <c r="N970" s="200"/>
      <c r="O970" s="199"/>
      <c r="P970" s="603"/>
      <c r="Q970" s="24"/>
      <c r="R970" s="398"/>
      <c r="S970" s="398"/>
      <c r="T970" s="398"/>
      <c r="U970" s="398"/>
      <c r="V970" s="398"/>
      <c r="W970" s="398"/>
      <c r="X970" s="398"/>
      <c r="Y970" s="398"/>
      <c r="Z970" s="398"/>
      <c r="AA970" s="398"/>
      <c r="AB970" s="200"/>
      <c r="AI970" s="459" t="str">
        <f>CONCATENATE(AK970,AL970,AM970,AN970,AO970,AP970,AQ970,AR970)</f>
        <v/>
      </c>
      <c r="AK970" s="469"/>
    </row>
    <row r="971" spans="1:41" ht="19.95" customHeight="1">
      <c r="A971" s="199"/>
      <c r="B971" s="603"/>
      <c r="C971" s="603"/>
      <c r="D971" s="603"/>
      <c r="E971" s="603"/>
      <c r="F971" s="603"/>
      <c r="G971" s="603"/>
      <c r="H971" s="603"/>
      <c r="I971" s="603"/>
      <c r="J971" s="603"/>
      <c r="K971" s="603"/>
      <c r="L971" s="603"/>
      <c r="M971" s="603"/>
      <c r="N971" s="200"/>
      <c r="O971" s="199"/>
      <c r="P971" s="24"/>
      <c r="Q971" s="24"/>
      <c r="R971" s="398"/>
      <c r="S971" s="398"/>
      <c r="T971" s="398"/>
      <c r="U971" s="398"/>
      <c r="V971" s="398"/>
      <c r="W971" s="398"/>
      <c r="X971" s="398"/>
      <c r="Y971" s="398"/>
      <c r="Z971" s="398"/>
      <c r="AA971" s="398"/>
      <c r="AB971" s="200"/>
      <c r="AI971" s="2">
        <v>2</v>
      </c>
      <c r="AJ971" s="2">
        <v>1</v>
      </c>
      <c r="AK971" s="2">
        <v>0</v>
      </c>
      <c r="AL971" s="2">
        <v>0</v>
      </c>
      <c r="AN971" s="2">
        <f>AI972/5</f>
        <v>3.6</v>
      </c>
    </row>
    <row r="972" spans="1:41" ht="19.95" customHeight="1">
      <c r="A972" s="199"/>
      <c r="B972" s="603"/>
      <c r="C972" s="603"/>
      <c r="D972" s="603"/>
      <c r="E972" s="603"/>
      <c r="F972" s="603"/>
      <c r="G972" s="603"/>
      <c r="H972" s="603"/>
      <c r="I972" s="603"/>
      <c r="J972" s="603"/>
      <c r="K972" s="603"/>
      <c r="L972" s="603"/>
      <c r="M972" s="603"/>
      <c r="N972" s="200"/>
      <c r="O972" s="199"/>
      <c r="P972" s="24"/>
      <c r="Q972" s="24"/>
      <c r="R972" s="398"/>
      <c r="S972" s="398"/>
      <c r="T972" s="398"/>
      <c r="U972" s="398"/>
      <c r="V972" s="398"/>
      <c r="W972" s="398"/>
      <c r="X972" s="398"/>
      <c r="Y972" s="398"/>
      <c r="Z972" s="398"/>
      <c r="AA972" s="398"/>
      <c r="AB972" s="200"/>
      <c r="AI972" s="2">
        <f>AI971*9</f>
        <v>18</v>
      </c>
      <c r="AJ972" s="2">
        <f>AJ971*9</f>
        <v>9</v>
      </c>
      <c r="AK972" s="2">
        <f>AK971*9</f>
        <v>0</v>
      </c>
    </row>
    <row r="973" spans="1:41" ht="19.95" customHeight="1" thickBot="1">
      <c r="A973" s="199"/>
      <c r="B973" s="603"/>
      <c r="C973" s="603"/>
      <c r="D973" s="603"/>
      <c r="E973" s="603"/>
      <c r="F973" s="603"/>
      <c r="G973" s="603"/>
      <c r="H973" s="603"/>
      <c r="I973" s="603"/>
      <c r="J973" s="603"/>
      <c r="K973" s="603"/>
      <c r="L973" s="603"/>
      <c r="M973" s="603"/>
      <c r="N973" s="200"/>
      <c r="O973" s="199"/>
      <c r="P973" s="24"/>
      <c r="Q973" s="24"/>
      <c r="R973" s="398"/>
      <c r="S973" s="398"/>
      <c r="T973" s="398"/>
      <c r="U973" s="398"/>
      <c r="V973" s="398"/>
      <c r="W973" s="398"/>
      <c r="X973" s="398"/>
      <c r="Y973" s="398"/>
      <c r="Z973" s="398"/>
      <c r="AA973" s="398"/>
      <c r="AB973" s="200"/>
    </row>
    <row r="974" spans="1:41" ht="19.95" customHeight="1">
      <c r="A974" s="716" t="s">
        <v>2675</v>
      </c>
      <c r="B974" s="496"/>
      <c r="C974" s="24"/>
      <c r="D974" s="1044"/>
      <c r="E974" s="1045"/>
      <c r="F974" s="1045"/>
      <c r="G974" s="1045"/>
      <c r="H974" s="1045"/>
      <c r="I974" s="1045"/>
      <c r="J974" s="1046"/>
      <c r="K974" s="1343" t="str">
        <f>AI974</f>
        <v/>
      </c>
      <c r="L974" s="1344"/>
      <c r="M974" s="1344"/>
      <c r="N974" s="200"/>
      <c r="O974" s="199"/>
      <c r="P974" s="24"/>
      <c r="Q974" s="24"/>
      <c r="R974" s="398"/>
      <c r="S974" s="398"/>
      <c r="T974" s="398"/>
      <c r="U974" s="398"/>
      <c r="V974" s="398"/>
      <c r="W974" s="398"/>
      <c r="X974" s="398"/>
      <c r="Y974" s="398"/>
      <c r="Z974" s="398"/>
      <c r="AA974" s="398"/>
      <c r="AB974" s="200"/>
      <c r="AH974" s="910">
        <v>1</v>
      </c>
      <c r="AI974" s="821" t="str">
        <f>IF(D974=AK974,AJ974,IF(D974=AK975,AJ975,IF(D974=AK976,AJ976,"")))</f>
        <v/>
      </c>
      <c r="AJ974" s="717" t="s">
        <v>2691</v>
      </c>
      <c r="AK974" s="824" t="s">
        <v>2688</v>
      </c>
      <c r="AL974" s="825">
        <f>IF(D974="",1,0)</f>
        <v>1</v>
      </c>
      <c r="AN974" s="821" t="str">
        <f>IF(K974=AJ974,AO974,IF(K974=AJ975,AO975,IF(K974=AJ976,AO976,"")))</f>
        <v/>
      </c>
      <c r="AO974" s="2" t="s">
        <v>2687</v>
      </c>
    </row>
    <row r="975" spans="1:41" ht="19.95" customHeight="1" thickBot="1">
      <c r="A975" s="716"/>
      <c r="B975" s="496"/>
      <c r="C975" s="24"/>
      <c r="D975" s="1047"/>
      <c r="E975" s="1048"/>
      <c r="F975" s="1048"/>
      <c r="G975" s="1048"/>
      <c r="H975" s="1048"/>
      <c r="I975" s="1048"/>
      <c r="J975" s="1049"/>
      <c r="K975" s="714"/>
      <c r="L975" s="714"/>
      <c r="M975" s="826" t="str">
        <f>AN974</f>
        <v/>
      </c>
      <c r="N975" s="200"/>
      <c r="O975" s="199"/>
      <c r="P975" s="24"/>
      <c r="Q975" s="24"/>
      <c r="R975" s="398"/>
      <c r="S975" s="398"/>
      <c r="T975" s="398"/>
      <c r="U975" s="398"/>
      <c r="V975" s="398"/>
      <c r="W975" s="398"/>
      <c r="X975" s="398"/>
      <c r="Y975" s="398"/>
      <c r="Z975" s="398"/>
      <c r="AA975" s="398"/>
      <c r="AB975" s="200"/>
      <c r="AH975" s="910"/>
      <c r="AI975" s="822">
        <f>IF(AI974=AJ974,AI$971,IF(AI974=AJ975,AJ$971,IF(AI974=AJ976,AK$971,AL$971)))</f>
        <v>0</v>
      </c>
      <c r="AJ975" s="718" t="s">
        <v>2692</v>
      </c>
      <c r="AK975" s="824" t="s">
        <v>2689</v>
      </c>
      <c r="AO975" s="2" t="s">
        <v>3117</v>
      </c>
    </row>
    <row r="976" spans="1:41" ht="4.05" customHeight="1" thickBot="1">
      <c r="A976" s="716"/>
      <c r="B976" s="496"/>
      <c r="C976" s="496"/>
      <c r="D976" s="496"/>
      <c r="E976" s="496"/>
      <c r="F976" s="496"/>
      <c r="G976" s="496"/>
      <c r="H976" s="496"/>
      <c r="I976" s="496"/>
      <c r="J976" s="496"/>
      <c r="K976" s="496"/>
      <c r="L976" s="714"/>
      <c r="M976" s="714"/>
      <c r="N976" s="200"/>
      <c r="O976" s="199"/>
      <c r="P976" s="24"/>
      <c r="Q976" s="24"/>
      <c r="R976" s="398"/>
      <c r="S976" s="398"/>
      <c r="T976" s="398"/>
      <c r="U976" s="398"/>
      <c r="V976" s="398"/>
      <c r="W976" s="398"/>
      <c r="X976" s="398"/>
      <c r="Y976" s="398"/>
      <c r="Z976" s="398"/>
      <c r="AA976" s="398"/>
      <c r="AB976" s="200"/>
      <c r="AH976" s="910"/>
      <c r="AI976" s="2" t="s">
        <v>2693</v>
      </c>
      <c r="AJ976" s="718" t="s">
        <v>2693</v>
      </c>
      <c r="AK976" s="824" t="s">
        <v>2690</v>
      </c>
      <c r="AO976" s="2" t="s">
        <v>3118</v>
      </c>
    </row>
    <row r="977" spans="1:41" ht="19.95" customHeight="1">
      <c r="A977" s="716" t="s">
        <v>2679</v>
      </c>
      <c r="B977" s="496"/>
      <c r="C977" s="24"/>
      <c r="D977" s="1044"/>
      <c r="E977" s="1045"/>
      <c r="F977" s="1045"/>
      <c r="G977" s="1045"/>
      <c r="H977" s="1045"/>
      <c r="I977" s="1045"/>
      <c r="J977" s="1046"/>
      <c r="K977" s="1343" t="str">
        <f>AI977</f>
        <v/>
      </c>
      <c r="L977" s="1344"/>
      <c r="M977" s="1344"/>
      <c r="N977" s="200"/>
      <c r="O977" s="199"/>
      <c r="P977" s="24"/>
      <c r="Q977" s="24"/>
      <c r="R977" s="398"/>
      <c r="S977" s="398"/>
      <c r="T977" s="398"/>
      <c r="U977" s="398"/>
      <c r="V977" s="398"/>
      <c r="W977" s="398"/>
      <c r="X977" s="398"/>
      <c r="Y977" s="398"/>
      <c r="Z977" s="398"/>
      <c r="AA977" s="398"/>
      <c r="AB977" s="200"/>
      <c r="AH977" s="910">
        <v>2</v>
      </c>
      <c r="AI977" s="595" t="str">
        <f>IF(D977=AK977,AJ977,IF(D977=AK978,AJ978,IF(D977=AK979,AJ979,"")))</f>
        <v/>
      </c>
      <c r="AJ977" s="717" t="s">
        <v>2676</v>
      </c>
      <c r="AK977" s="824" t="s">
        <v>2711</v>
      </c>
      <c r="AL977" s="825">
        <f>IF(D977="",1,0)</f>
        <v>1</v>
      </c>
      <c r="AN977" s="821" t="str">
        <f>IF(K977=AJ977,AO977,IF(K977=AJ978,AO978,IF(K977=AJ979,AO979,"")))</f>
        <v/>
      </c>
      <c r="AO977" s="2" t="s">
        <v>2687</v>
      </c>
    </row>
    <row r="978" spans="1:41" ht="19.95" customHeight="1" thickBot="1">
      <c r="A978" s="716"/>
      <c r="B978" s="496"/>
      <c r="C978" s="606"/>
      <c r="D978" s="1047"/>
      <c r="E978" s="1048"/>
      <c r="F978" s="1048"/>
      <c r="G978" s="1048"/>
      <c r="H978" s="1048"/>
      <c r="I978" s="1048"/>
      <c r="J978" s="1049"/>
      <c r="K978" s="714"/>
      <c r="L978" s="714"/>
      <c r="M978" s="826" t="str">
        <f>AN977</f>
        <v/>
      </c>
      <c r="N978" s="200"/>
      <c r="O978" s="199"/>
      <c r="P978" s="24"/>
      <c r="Q978" s="24"/>
      <c r="R978" s="398"/>
      <c r="S978" s="398"/>
      <c r="T978" s="398"/>
      <c r="U978" s="398"/>
      <c r="V978" s="398"/>
      <c r="W978" s="398"/>
      <c r="X978" s="398"/>
      <c r="Y978" s="398"/>
      <c r="Z978" s="398"/>
      <c r="AA978" s="398"/>
      <c r="AB978" s="200"/>
      <c r="AH978" s="910"/>
      <c r="AI978" s="822">
        <f>IF(AI977=AJ977,AI$971,IF(AI977=AJ978,AJ$971,IF(AI977=AJ979,AK$971,AL$971)))</f>
        <v>0</v>
      </c>
      <c r="AJ978" s="718" t="s">
        <v>2694</v>
      </c>
      <c r="AK978" s="824" t="s">
        <v>2712</v>
      </c>
      <c r="AO978" s="2" t="s">
        <v>3117</v>
      </c>
    </row>
    <row r="979" spans="1:41" ht="4.05" customHeight="1" thickBot="1">
      <c r="A979" s="716"/>
      <c r="B979" s="496"/>
      <c r="C979" s="496"/>
      <c r="D979" s="496"/>
      <c r="E979" s="496"/>
      <c r="F979" s="496"/>
      <c r="G979" s="496"/>
      <c r="H979" s="496"/>
      <c r="I979" s="496"/>
      <c r="J979" s="496"/>
      <c r="K979" s="496"/>
      <c r="L979" s="496"/>
      <c r="M979" s="714"/>
      <c r="N979" s="200"/>
      <c r="O979" s="199"/>
      <c r="P979" s="24"/>
      <c r="Q979" s="24"/>
      <c r="R979" s="398"/>
      <c r="S979" s="398"/>
      <c r="T979" s="398"/>
      <c r="U979" s="398"/>
      <c r="V979" s="398"/>
      <c r="W979" s="398"/>
      <c r="X979" s="398"/>
      <c r="Y979" s="398"/>
      <c r="Z979" s="398"/>
      <c r="AA979" s="398"/>
      <c r="AB979" s="200"/>
      <c r="AH979" s="910"/>
      <c r="AI979" s="2" t="s">
        <v>2693</v>
      </c>
      <c r="AJ979" s="718" t="s">
        <v>2695</v>
      </c>
      <c r="AK979" s="824" t="s">
        <v>2686</v>
      </c>
      <c r="AO979" s="2" t="s">
        <v>3118</v>
      </c>
    </row>
    <row r="980" spans="1:41" ht="19.95" customHeight="1">
      <c r="A980" s="716" t="s">
        <v>2680</v>
      </c>
      <c r="B980" s="715"/>
      <c r="C980" s="24"/>
      <c r="D980" s="1044"/>
      <c r="E980" s="1045"/>
      <c r="F980" s="1045"/>
      <c r="G980" s="1045"/>
      <c r="H980" s="1045"/>
      <c r="I980" s="1045"/>
      <c r="J980" s="1046"/>
      <c r="K980" s="1343" t="str">
        <f>AI980</f>
        <v/>
      </c>
      <c r="L980" s="1344"/>
      <c r="M980" s="1344"/>
      <c r="N980" s="200"/>
      <c r="O980" s="199"/>
      <c r="P980" s="24"/>
      <c r="Q980" s="24"/>
      <c r="R980" s="398"/>
      <c r="S980" s="398"/>
      <c r="T980" s="398"/>
      <c r="U980" s="398"/>
      <c r="V980" s="398"/>
      <c r="W980" s="398"/>
      <c r="X980" s="398"/>
      <c r="Y980" s="398"/>
      <c r="Z980" s="398"/>
      <c r="AA980" s="398"/>
      <c r="AB980" s="200"/>
      <c r="AH980" s="910">
        <v>3</v>
      </c>
      <c r="AI980" s="595" t="str">
        <f>IF(D980=AK980,AJ980,IF(D980=AK981,AJ981,IF(D980=AK982,AJ982,"")))</f>
        <v/>
      </c>
      <c r="AJ980" s="717" t="s">
        <v>2677</v>
      </c>
      <c r="AK980" s="824" t="s">
        <v>2713</v>
      </c>
      <c r="AL980" s="825">
        <f>IF(D980="",1,0)</f>
        <v>1</v>
      </c>
      <c r="AN980" s="821" t="str">
        <f>IF(K980=AJ980,AO980,IF(K980=AJ981,AO981,IF(K980=AJ982,AO982,"")))</f>
        <v/>
      </c>
      <c r="AO980" s="2" t="s">
        <v>2687</v>
      </c>
    </row>
    <row r="981" spans="1:41" ht="19.95" customHeight="1" thickBot="1">
      <c r="A981" s="716"/>
      <c r="B981" s="715"/>
      <c r="C981" s="606"/>
      <c r="D981" s="1047"/>
      <c r="E981" s="1048"/>
      <c r="F981" s="1048"/>
      <c r="G981" s="1048"/>
      <c r="H981" s="1048"/>
      <c r="I981" s="1048"/>
      <c r="J981" s="1049"/>
      <c r="K981" s="714"/>
      <c r="L981" s="714"/>
      <c r="M981" s="826" t="str">
        <f>AN980</f>
        <v/>
      </c>
      <c r="N981" s="200"/>
      <c r="O981" s="199"/>
      <c r="P981" s="24"/>
      <c r="Q981" s="24"/>
      <c r="R981" s="398"/>
      <c r="S981" s="398"/>
      <c r="T981" s="398"/>
      <c r="U981" s="398"/>
      <c r="V981" s="398"/>
      <c r="W981" s="398"/>
      <c r="X981" s="398"/>
      <c r="Y981" s="398"/>
      <c r="Z981" s="398"/>
      <c r="AA981" s="398"/>
      <c r="AB981" s="200"/>
      <c r="AH981" s="910"/>
      <c r="AI981" s="822">
        <f>IF(AI980=AJ980,AI$971,IF(AI980=AJ981,AJ$971,IF(AI980=AJ982,AK$971,AL$971)))</f>
        <v>0</v>
      </c>
      <c r="AJ981" s="718" t="s">
        <v>2685</v>
      </c>
      <c r="AK981" s="824" t="s">
        <v>2714</v>
      </c>
      <c r="AO981" s="2" t="s">
        <v>3117</v>
      </c>
    </row>
    <row r="982" spans="1:41" ht="4.05" customHeight="1" thickBot="1">
      <c r="A982" s="716"/>
      <c r="B982" s="715"/>
      <c r="C982" s="715"/>
      <c r="D982" s="715"/>
      <c r="E982" s="715"/>
      <c r="F982" s="715"/>
      <c r="G982" s="715"/>
      <c r="H982" s="715"/>
      <c r="I982" s="715"/>
      <c r="J982" s="715"/>
      <c r="K982" s="715"/>
      <c r="L982" s="715"/>
      <c r="M982" s="715"/>
      <c r="N982" s="200"/>
      <c r="O982" s="199"/>
      <c r="P982" s="24"/>
      <c r="Q982" s="24"/>
      <c r="R982" s="398"/>
      <c r="S982" s="398"/>
      <c r="T982" s="398"/>
      <c r="U982" s="398"/>
      <c r="V982" s="398"/>
      <c r="W982" s="398"/>
      <c r="X982" s="398"/>
      <c r="Y982" s="398"/>
      <c r="Z982" s="398"/>
      <c r="AA982" s="398"/>
      <c r="AB982" s="200"/>
      <c r="AH982" s="910"/>
      <c r="AI982" s="2" t="s">
        <v>2693</v>
      </c>
      <c r="AJ982" s="718" t="s">
        <v>2678</v>
      </c>
      <c r="AK982" s="824" t="s">
        <v>2715</v>
      </c>
      <c r="AO982" s="2" t="s">
        <v>3118</v>
      </c>
    </row>
    <row r="983" spans="1:41" ht="19.95" customHeight="1">
      <c r="A983" s="716" t="s">
        <v>3119</v>
      </c>
      <c r="B983" s="496"/>
      <c r="C983" s="24"/>
      <c r="D983" s="1044"/>
      <c r="E983" s="1045"/>
      <c r="F983" s="1045"/>
      <c r="G983" s="1045"/>
      <c r="H983" s="1045"/>
      <c r="I983" s="1045"/>
      <c r="J983" s="1046"/>
      <c r="K983" s="1343" t="str">
        <f>AI983</f>
        <v/>
      </c>
      <c r="L983" s="1344"/>
      <c r="M983" s="1344"/>
      <c r="N983" s="200"/>
      <c r="O983" s="199"/>
      <c r="P983" s="24"/>
      <c r="Q983" s="24"/>
      <c r="R983" s="398"/>
      <c r="S983" s="398"/>
      <c r="T983" s="398"/>
      <c r="U983" s="398"/>
      <c r="V983" s="398"/>
      <c r="W983" s="398"/>
      <c r="X983" s="398"/>
      <c r="Y983" s="398"/>
      <c r="Z983" s="398"/>
      <c r="AA983" s="398"/>
      <c r="AB983" s="200"/>
      <c r="AH983" s="910">
        <v>4</v>
      </c>
      <c r="AI983" s="595" t="str">
        <f>IF(D983=AK983,AJ983,IF(D983=AK984,AJ984,IF(D983=AK985,AJ985,"")))</f>
        <v/>
      </c>
      <c r="AJ983" s="717" t="s">
        <v>2696</v>
      </c>
      <c r="AK983" s="824" t="s">
        <v>2716</v>
      </c>
      <c r="AL983" s="825">
        <f>IF(D983="",1,0)</f>
        <v>1</v>
      </c>
      <c r="AN983" s="821" t="str">
        <f>IF(K983=AJ983,AO983,IF(K983=AJ984,AO984,IF(K983=AJ985,AO985,"")))</f>
        <v/>
      </c>
      <c r="AO983" s="2" t="s">
        <v>2687</v>
      </c>
    </row>
    <row r="984" spans="1:41" ht="19.95" customHeight="1" thickBot="1">
      <c r="A984" s="716"/>
      <c r="B984" s="496"/>
      <c r="C984" s="606"/>
      <c r="D984" s="1047"/>
      <c r="E984" s="1048"/>
      <c r="F984" s="1048"/>
      <c r="G984" s="1048"/>
      <c r="H984" s="1048"/>
      <c r="I984" s="1048"/>
      <c r="J984" s="1049"/>
      <c r="K984" s="714"/>
      <c r="L984" s="714"/>
      <c r="M984" s="826" t="str">
        <f>AN983</f>
        <v/>
      </c>
      <c r="N984" s="200"/>
      <c r="O984" s="199"/>
      <c r="P984" s="24"/>
      <c r="Q984" s="24"/>
      <c r="R984" s="398"/>
      <c r="S984" s="398"/>
      <c r="T984" s="398"/>
      <c r="U984" s="398"/>
      <c r="V984" s="398"/>
      <c r="W984" s="398"/>
      <c r="X984" s="398"/>
      <c r="Y984" s="398"/>
      <c r="Z984" s="398"/>
      <c r="AA984" s="398"/>
      <c r="AB984" s="200"/>
      <c r="AH984" s="910"/>
      <c r="AI984" s="822">
        <f>IF(AI983=AJ983,AI$971,IF(AI983=AJ984,AJ$971,IF(AI983=AJ985,AK$971,AL$971)))</f>
        <v>0</v>
      </c>
      <c r="AJ984" s="718" t="s">
        <v>2697</v>
      </c>
      <c r="AK984" s="824" t="s">
        <v>2717</v>
      </c>
      <c r="AO984" s="2" t="s">
        <v>3117</v>
      </c>
    </row>
    <row r="985" spans="1:41" ht="4.05" customHeight="1" thickBot="1">
      <c r="A985" s="716"/>
      <c r="B985" s="496"/>
      <c r="C985" s="496"/>
      <c r="D985" s="496"/>
      <c r="E985" s="496"/>
      <c r="F985" s="496"/>
      <c r="G985" s="496"/>
      <c r="H985" s="496"/>
      <c r="I985" s="496"/>
      <c r="J985" s="496"/>
      <c r="K985" s="496"/>
      <c r="L985" s="496"/>
      <c r="M985" s="496"/>
      <c r="N985" s="200"/>
      <c r="O985" s="199"/>
      <c r="P985" s="24"/>
      <c r="Q985" s="24"/>
      <c r="R985" s="398"/>
      <c r="S985" s="398"/>
      <c r="T985" s="398"/>
      <c r="U985" s="398"/>
      <c r="V985" s="398"/>
      <c r="W985" s="398"/>
      <c r="X985" s="398"/>
      <c r="Y985" s="398"/>
      <c r="Z985" s="398"/>
      <c r="AA985" s="398"/>
      <c r="AB985" s="200"/>
      <c r="AH985" s="910"/>
      <c r="AI985" s="2" t="s">
        <v>2693</v>
      </c>
      <c r="AJ985" s="718" t="s">
        <v>2698</v>
      </c>
      <c r="AK985" s="824" t="s">
        <v>2718</v>
      </c>
      <c r="AO985" s="2" t="s">
        <v>3118</v>
      </c>
    </row>
    <row r="986" spans="1:41" ht="19.95" customHeight="1">
      <c r="A986" s="716" t="s">
        <v>2681</v>
      </c>
      <c r="B986" s="496"/>
      <c r="C986" s="24"/>
      <c r="D986" s="1044"/>
      <c r="E986" s="1045"/>
      <c r="F986" s="1045"/>
      <c r="G986" s="1045"/>
      <c r="H986" s="1045"/>
      <c r="I986" s="1045"/>
      <c r="J986" s="1046"/>
      <c r="K986" s="1343" t="str">
        <f>AI986</f>
        <v/>
      </c>
      <c r="L986" s="1344"/>
      <c r="M986" s="1344"/>
      <c r="N986" s="200"/>
      <c r="O986" s="199"/>
      <c r="P986" s="24"/>
      <c r="Q986" s="24"/>
      <c r="R986" s="398"/>
      <c r="S986" s="398"/>
      <c r="T986" s="398"/>
      <c r="U986" s="398"/>
      <c r="V986" s="398"/>
      <c r="W986" s="398"/>
      <c r="X986" s="398"/>
      <c r="Y986" s="398"/>
      <c r="Z986" s="398"/>
      <c r="AA986" s="398"/>
      <c r="AB986" s="200"/>
      <c r="AH986" s="910">
        <v>5</v>
      </c>
      <c r="AI986" s="595" t="str">
        <f>IF(D986=AK986,AJ986,IF(D986=AK987,AJ987,IF(D986=AK988,AJ988,"")))</f>
        <v/>
      </c>
      <c r="AJ986" s="717" t="s">
        <v>2699</v>
      </c>
      <c r="AK986" s="824" t="s">
        <v>2719</v>
      </c>
      <c r="AL986" s="825">
        <f>IF(D986="",1,0)</f>
        <v>1</v>
      </c>
      <c r="AN986" s="821" t="str">
        <f>IF(K986=AJ986,AO986,IF(K986=AJ987,AO987,IF(K986=AJ988,AO988,"")))</f>
        <v/>
      </c>
      <c r="AO986" s="2" t="s">
        <v>2687</v>
      </c>
    </row>
    <row r="987" spans="1:41" ht="19.95" customHeight="1" thickBot="1">
      <c r="A987" s="716"/>
      <c r="B987" s="496"/>
      <c r="C987" s="606"/>
      <c r="D987" s="1047"/>
      <c r="E987" s="1048"/>
      <c r="F987" s="1048"/>
      <c r="G987" s="1048"/>
      <c r="H987" s="1048"/>
      <c r="I987" s="1048"/>
      <c r="J987" s="1049"/>
      <c r="K987" s="714"/>
      <c r="L987" s="714"/>
      <c r="M987" s="826" t="str">
        <f>AN986</f>
        <v/>
      </c>
      <c r="N987" s="200"/>
      <c r="O987" s="199"/>
      <c r="P987" s="24"/>
      <c r="Q987" s="24"/>
      <c r="R987" s="398"/>
      <c r="S987" s="398"/>
      <c r="T987" s="398"/>
      <c r="U987" s="398"/>
      <c r="V987" s="398"/>
      <c r="W987" s="398"/>
      <c r="X987" s="398"/>
      <c r="Y987" s="398"/>
      <c r="Z987" s="398"/>
      <c r="AA987" s="398"/>
      <c r="AB987" s="200"/>
      <c r="AH987" s="910"/>
      <c r="AI987" s="822">
        <f>IF(AI986=AJ986,AI$971,IF(AI986=AJ987,AJ$971,IF(AI986=AJ988,AK$971,AL$971)))</f>
        <v>0</v>
      </c>
      <c r="AJ987" s="718" t="s">
        <v>2700</v>
      </c>
      <c r="AK987" s="824" t="s">
        <v>2720</v>
      </c>
      <c r="AO987" s="2" t="s">
        <v>3117</v>
      </c>
    </row>
    <row r="988" spans="1:41" ht="4.05" customHeight="1" thickBot="1">
      <c r="A988" s="716"/>
      <c r="B988" s="496"/>
      <c r="C988" s="496"/>
      <c r="D988" s="496"/>
      <c r="E988" s="496"/>
      <c r="F988" s="496"/>
      <c r="G988" s="496"/>
      <c r="H988" s="496"/>
      <c r="I988" s="496"/>
      <c r="J988" s="496"/>
      <c r="K988" s="496"/>
      <c r="L988" s="714"/>
      <c r="M988" s="714"/>
      <c r="N988" s="200"/>
      <c r="O988" s="199"/>
      <c r="P988" s="24"/>
      <c r="Q988" s="24"/>
      <c r="R988" s="398"/>
      <c r="S988" s="398"/>
      <c r="T988" s="398"/>
      <c r="U988" s="398"/>
      <c r="V988" s="398"/>
      <c r="W988" s="398"/>
      <c r="X988" s="398"/>
      <c r="Y988" s="398"/>
      <c r="Z988" s="398"/>
      <c r="AA988" s="398"/>
      <c r="AB988" s="200"/>
      <c r="AH988" s="910"/>
      <c r="AI988" s="2" t="s">
        <v>2693</v>
      </c>
      <c r="AJ988" s="718" t="s">
        <v>2701</v>
      </c>
      <c r="AK988" s="824" t="s">
        <v>2721</v>
      </c>
      <c r="AO988" s="2" t="s">
        <v>3118</v>
      </c>
    </row>
    <row r="989" spans="1:41" ht="19.95" customHeight="1">
      <c r="A989" s="716" t="s">
        <v>2682</v>
      </c>
      <c r="B989" s="496"/>
      <c r="C989" s="24"/>
      <c r="D989" s="1044"/>
      <c r="E989" s="1045"/>
      <c r="F989" s="1045"/>
      <c r="G989" s="1045"/>
      <c r="H989" s="1045"/>
      <c r="I989" s="1045"/>
      <c r="J989" s="1046"/>
      <c r="K989" s="1343" t="str">
        <f>AI989</f>
        <v/>
      </c>
      <c r="L989" s="1344"/>
      <c r="M989" s="1344"/>
      <c r="N989" s="200"/>
      <c r="O989" s="199"/>
      <c r="P989" s="24"/>
      <c r="Q989" s="24"/>
      <c r="R989" s="398"/>
      <c r="S989" s="398"/>
      <c r="T989" s="398"/>
      <c r="U989" s="398"/>
      <c r="V989" s="398"/>
      <c r="W989" s="398"/>
      <c r="X989" s="398"/>
      <c r="Y989" s="398"/>
      <c r="Z989" s="398"/>
      <c r="AA989" s="398"/>
      <c r="AB989" s="200"/>
      <c r="AH989" s="910">
        <v>6</v>
      </c>
      <c r="AI989" s="595" t="str">
        <f>IF(D989=AK989,AJ989,IF(D989=AK990,AJ990,IF(D989=AK991,AJ991,"")))</f>
        <v/>
      </c>
      <c r="AJ989" s="717" t="s">
        <v>2699</v>
      </c>
      <c r="AK989" s="824" t="s">
        <v>2722</v>
      </c>
      <c r="AL989" s="825">
        <f>IF(D989="",1,0)</f>
        <v>1</v>
      </c>
      <c r="AN989" s="821" t="str">
        <f>IF(K989=AJ989,AO989,IF(K989=AJ990,AO990,IF(K989=AJ991,AO991,"")))</f>
        <v/>
      </c>
      <c r="AO989" s="2" t="s">
        <v>2687</v>
      </c>
    </row>
    <row r="990" spans="1:41" ht="19.95" customHeight="1" thickBot="1">
      <c r="A990" s="716"/>
      <c r="B990" s="496"/>
      <c r="C990" s="24"/>
      <c r="D990" s="1047"/>
      <c r="E990" s="1048"/>
      <c r="F990" s="1048"/>
      <c r="G990" s="1048"/>
      <c r="H990" s="1048"/>
      <c r="I990" s="1048"/>
      <c r="J990" s="1049"/>
      <c r="K990" s="714"/>
      <c r="L990" s="714"/>
      <c r="M990" s="826" t="str">
        <f>AN989</f>
        <v/>
      </c>
      <c r="N990" s="200"/>
      <c r="O990" s="199"/>
      <c r="P990" s="24"/>
      <c r="Q990" s="24"/>
      <c r="R990" s="398"/>
      <c r="S990" s="398"/>
      <c r="T990" s="398"/>
      <c r="U990" s="398"/>
      <c r="V990" s="398"/>
      <c r="W990" s="398"/>
      <c r="X990" s="398"/>
      <c r="Y990" s="398"/>
      <c r="Z990" s="398"/>
      <c r="AA990" s="398"/>
      <c r="AB990" s="200"/>
      <c r="AH990" s="910"/>
      <c r="AI990" s="822">
        <f>IF(AI989=AJ989,AI$971,IF(AI989=AJ990,AJ$971,IF(AI989=AJ991,AK$971,AL$971)))</f>
        <v>0</v>
      </c>
      <c r="AJ990" s="718" t="s">
        <v>2700</v>
      </c>
      <c r="AK990" s="824" t="s">
        <v>2723</v>
      </c>
      <c r="AO990" s="2" t="s">
        <v>3117</v>
      </c>
    </row>
    <row r="991" spans="1:41" ht="4.05" customHeight="1" thickBot="1">
      <c r="A991" s="716"/>
      <c r="B991" s="496"/>
      <c r="C991" s="496"/>
      <c r="D991" s="496"/>
      <c r="E991" s="496"/>
      <c r="F991" s="496"/>
      <c r="G991" s="496"/>
      <c r="H991" s="496"/>
      <c r="I991" s="496"/>
      <c r="J991" s="496"/>
      <c r="K991" s="496"/>
      <c r="L991" s="496"/>
      <c r="M991" s="714"/>
      <c r="N991" s="200"/>
      <c r="O991" s="199"/>
      <c r="P991" s="24"/>
      <c r="Q991" s="24"/>
      <c r="R991" s="398"/>
      <c r="S991" s="398"/>
      <c r="T991" s="398"/>
      <c r="U991" s="398"/>
      <c r="V991" s="398"/>
      <c r="W991" s="398"/>
      <c r="X991" s="398"/>
      <c r="Y991" s="398"/>
      <c r="Z991" s="398"/>
      <c r="AA991" s="398"/>
      <c r="AB991" s="200"/>
      <c r="AH991" s="910"/>
      <c r="AI991" s="2" t="s">
        <v>2693</v>
      </c>
      <c r="AJ991" s="718" t="s">
        <v>2701</v>
      </c>
      <c r="AK991" s="824" t="s">
        <v>2724</v>
      </c>
      <c r="AO991" s="2" t="s">
        <v>3118</v>
      </c>
    </row>
    <row r="992" spans="1:41" ht="19.95" customHeight="1">
      <c r="A992" s="716" t="s">
        <v>2683</v>
      </c>
      <c r="B992" s="496"/>
      <c r="C992" s="24"/>
      <c r="D992" s="1044"/>
      <c r="E992" s="1045"/>
      <c r="F992" s="1045"/>
      <c r="G992" s="1045"/>
      <c r="H992" s="1045"/>
      <c r="I992" s="1045"/>
      <c r="J992" s="1046"/>
      <c r="K992" s="1343" t="str">
        <f>AI992</f>
        <v/>
      </c>
      <c r="L992" s="1344"/>
      <c r="M992" s="1344"/>
      <c r="N992" s="200"/>
      <c r="O992" s="199"/>
      <c r="P992" s="24"/>
      <c r="Q992" s="24"/>
      <c r="R992" s="398"/>
      <c r="S992" s="398"/>
      <c r="T992" s="398"/>
      <c r="U992" s="398"/>
      <c r="V992" s="398"/>
      <c r="W992" s="398"/>
      <c r="X992" s="398"/>
      <c r="Y992" s="398"/>
      <c r="Z992" s="398"/>
      <c r="AA992" s="398"/>
      <c r="AB992" s="200"/>
      <c r="AH992" s="910">
        <v>7</v>
      </c>
      <c r="AI992" s="595" t="str">
        <f>IF(D992=AK992,AJ992,IF(D992=AK993,AJ993,IF(D992=AK994,AJ994,"")))</f>
        <v/>
      </c>
      <c r="AJ992" s="717" t="s">
        <v>2702</v>
      </c>
      <c r="AK992" s="824" t="s">
        <v>2725</v>
      </c>
      <c r="AL992" s="825">
        <f>IF(D992="",1,0)</f>
        <v>1</v>
      </c>
      <c r="AN992" s="821" t="str">
        <f>IF(K992=AJ992,AO992,IF(K992=AJ993,AO993,IF(K992=AJ994,AO994,"")))</f>
        <v/>
      </c>
      <c r="AO992" s="2" t="s">
        <v>2687</v>
      </c>
    </row>
    <row r="993" spans="1:43" ht="19.95" customHeight="1" thickBot="1">
      <c r="A993" s="716"/>
      <c r="B993" s="496"/>
      <c r="C993" s="603"/>
      <c r="D993" s="1047"/>
      <c r="E993" s="1048"/>
      <c r="F993" s="1048"/>
      <c r="G993" s="1048"/>
      <c r="H993" s="1048"/>
      <c r="I993" s="1048"/>
      <c r="J993" s="1049"/>
      <c r="K993" s="714"/>
      <c r="L993" s="714"/>
      <c r="M993" s="826" t="str">
        <f>AN992</f>
        <v/>
      </c>
      <c r="N993" s="200"/>
      <c r="O993" s="199"/>
      <c r="P993" s="24"/>
      <c r="Q993" s="24"/>
      <c r="R993" s="398"/>
      <c r="S993" s="398"/>
      <c r="T993" s="398"/>
      <c r="U993" s="398"/>
      <c r="V993" s="398"/>
      <c r="W993" s="398"/>
      <c r="X993" s="398"/>
      <c r="Y993" s="398"/>
      <c r="Z993" s="398"/>
      <c r="AA993" s="398"/>
      <c r="AB993" s="200"/>
      <c r="AH993" s="910"/>
      <c r="AI993" s="822">
        <f>IF(AI992=AJ992,AI$971,IF(AI992=AJ993,AJ$971,IF(AI992=AJ994,AK$971,AL$971)))</f>
        <v>0</v>
      </c>
      <c r="AJ993" s="718" t="s">
        <v>2703</v>
      </c>
      <c r="AK993" s="824" t="s">
        <v>2726</v>
      </c>
      <c r="AO993" s="2" t="s">
        <v>3117</v>
      </c>
    </row>
    <row r="994" spans="1:43" ht="4.05" customHeight="1" thickBot="1">
      <c r="A994" s="716"/>
      <c r="B994" s="496"/>
      <c r="C994" s="496"/>
      <c r="D994" s="496"/>
      <c r="E994" s="496"/>
      <c r="F994" s="496"/>
      <c r="G994" s="496"/>
      <c r="H994" s="496"/>
      <c r="I994" s="496"/>
      <c r="J994" s="496"/>
      <c r="K994" s="496"/>
      <c r="L994" s="714"/>
      <c r="M994" s="714"/>
      <c r="N994" s="200"/>
      <c r="O994" s="199"/>
      <c r="P994" s="24"/>
      <c r="Q994" s="24"/>
      <c r="R994" s="398"/>
      <c r="S994" s="398"/>
      <c r="T994" s="398"/>
      <c r="U994" s="398"/>
      <c r="V994" s="398"/>
      <c r="W994" s="398"/>
      <c r="X994" s="398"/>
      <c r="Y994" s="398"/>
      <c r="Z994" s="398"/>
      <c r="AA994" s="398"/>
      <c r="AB994" s="200"/>
      <c r="AH994" s="910"/>
      <c r="AI994" s="2" t="s">
        <v>2693</v>
      </c>
      <c r="AJ994" s="718" t="s">
        <v>2704</v>
      </c>
      <c r="AK994" s="824" t="s">
        <v>2727</v>
      </c>
      <c r="AO994" s="2" t="s">
        <v>3118</v>
      </c>
    </row>
    <row r="995" spans="1:43" ht="19.95" customHeight="1">
      <c r="A995" s="716" t="s">
        <v>2684</v>
      </c>
      <c r="B995" s="496"/>
      <c r="C995" s="496"/>
      <c r="D995" s="1044"/>
      <c r="E995" s="1045"/>
      <c r="F995" s="1045"/>
      <c r="G995" s="1045"/>
      <c r="H995" s="1045"/>
      <c r="I995" s="1045"/>
      <c r="J995" s="1046"/>
      <c r="K995" s="1343" t="str">
        <f>AI995</f>
        <v/>
      </c>
      <c r="L995" s="1344"/>
      <c r="M995" s="1344"/>
      <c r="N995" s="200"/>
      <c r="O995" s="199"/>
      <c r="P995" s="24"/>
      <c r="Q995" s="24"/>
      <c r="R995" s="398"/>
      <c r="S995" s="398"/>
      <c r="T995" s="398"/>
      <c r="U995" s="398"/>
      <c r="V995" s="398"/>
      <c r="W995" s="398"/>
      <c r="X995" s="398"/>
      <c r="Y995" s="398"/>
      <c r="Z995" s="398"/>
      <c r="AA995" s="398"/>
      <c r="AB995" s="200"/>
      <c r="AH995" s="910">
        <v>8</v>
      </c>
      <c r="AI995" s="595" t="str">
        <f>IF(D995=AK995,AJ995,IF(D995=AK996,AJ996,IF(D995=AK997,AJ997,"")))</f>
        <v/>
      </c>
      <c r="AJ995" s="717" t="s">
        <v>2705</v>
      </c>
      <c r="AK995" s="824" t="s">
        <v>2728</v>
      </c>
      <c r="AL995" s="825">
        <f>IF(D995="",1,0)</f>
        <v>1</v>
      </c>
      <c r="AN995" s="821" t="str">
        <f>IF(K995=AJ995,AO995,IF(K995=AJ996,AO996,IF(K995=AJ997,AO997,"")))</f>
        <v/>
      </c>
      <c r="AO995" s="2" t="s">
        <v>2687</v>
      </c>
    </row>
    <row r="996" spans="1:43" ht="19.95" customHeight="1" thickBot="1">
      <c r="A996" s="716"/>
      <c r="B996" s="496"/>
      <c r="C996" s="603"/>
      <c r="D996" s="1047"/>
      <c r="E996" s="1048"/>
      <c r="F996" s="1048"/>
      <c r="G996" s="1048"/>
      <c r="H996" s="1048"/>
      <c r="I996" s="1048"/>
      <c r="J996" s="1049"/>
      <c r="K996" s="714"/>
      <c r="L996" s="714"/>
      <c r="M996" s="826" t="str">
        <f>AN995</f>
        <v/>
      </c>
      <c r="N996" s="200"/>
      <c r="O996" s="199"/>
      <c r="P996" s="24"/>
      <c r="Q996" s="24"/>
      <c r="R996" s="398"/>
      <c r="S996" s="398"/>
      <c r="T996" s="398"/>
      <c r="U996" s="398"/>
      <c r="V996" s="398"/>
      <c r="W996" s="398"/>
      <c r="X996" s="398"/>
      <c r="Y996" s="398"/>
      <c r="Z996" s="398"/>
      <c r="AA996" s="398"/>
      <c r="AB996" s="200"/>
      <c r="AH996" s="910"/>
      <c r="AI996" s="822">
        <f>IF(AI995=AJ995,AI$971,IF(AI995=AJ996,AJ$971,IF(AI995=AJ997,AK$971,AL$971)))</f>
        <v>0</v>
      </c>
      <c r="AJ996" s="718" t="s">
        <v>2706</v>
      </c>
      <c r="AK996" s="824" t="s">
        <v>2729</v>
      </c>
      <c r="AO996" s="2" t="s">
        <v>3117</v>
      </c>
    </row>
    <row r="997" spans="1:43" ht="4.05" customHeight="1" thickBot="1">
      <c r="A997" s="716"/>
      <c r="B997" s="496"/>
      <c r="C997" s="496"/>
      <c r="D997" s="496"/>
      <c r="E997" s="496"/>
      <c r="F997" s="496"/>
      <c r="G997" s="496"/>
      <c r="H997" s="496"/>
      <c r="I997" s="496"/>
      <c r="J997" s="496"/>
      <c r="K997" s="496"/>
      <c r="L997" s="714"/>
      <c r="M997" s="714"/>
      <c r="N997" s="200"/>
      <c r="O997" s="199"/>
      <c r="P997" s="24"/>
      <c r="Q997" s="24"/>
      <c r="R997" s="398"/>
      <c r="S997" s="398"/>
      <c r="T997" s="398"/>
      <c r="U997" s="398"/>
      <c r="V997" s="398"/>
      <c r="W997" s="398"/>
      <c r="X997" s="398"/>
      <c r="Y997" s="398"/>
      <c r="Z997" s="398"/>
      <c r="AA997" s="398"/>
      <c r="AB997" s="200"/>
      <c r="AH997" s="910"/>
      <c r="AI997" s="2" t="s">
        <v>2693</v>
      </c>
      <c r="AJ997" s="718" t="s">
        <v>2707</v>
      </c>
      <c r="AK997" s="824" t="s">
        <v>2730</v>
      </c>
      <c r="AO997" s="2" t="s">
        <v>3118</v>
      </c>
    </row>
    <row r="998" spans="1:43" ht="19.95" customHeight="1">
      <c r="A998" s="716" t="s">
        <v>2434</v>
      </c>
      <c r="B998" s="496"/>
      <c r="C998" s="24"/>
      <c r="D998" s="1044"/>
      <c r="E998" s="1045"/>
      <c r="F998" s="1045"/>
      <c r="G998" s="1045"/>
      <c r="H998" s="1045"/>
      <c r="I998" s="1045"/>
      <c r="J998" s="1046"/>
      <c r="K998" s="1343" t="str">
        <f>AI998</f>
        <v/>
      </c>
      <c r="L998" s="1344"/>
      <c r="M998" s="1344"/>
      <c r="N998" s="200"/>
      <c r="O998" s="199"/>
      <c r="P998" s="24"/>
      <c r="Q998" s="24"/>
      <c r="R998" s="398"/>
      <c r="S998" s="398"/>
      <c r="T998" s="398"/>
      <c r="U998" s="398"/>
      <c r="V998" s="398"/>
      <c r="W998" s="398"/>
      <c r="X998" s="398"/>
      <c r="Y998" s="398"/>
      <c r="Z998" s="398"/>
      <c r="AA998" s="398"/>
      <c r="AB998" s="200"/>
      <c r="AH998" s="910">
        <v>9</v>
      </c>
      <c r="AI998" s="595" t="str">
        <f>IF(D998=AK998,AJ998,IF(D998=AK999,AJ999,IF(D998=AK1000,AJ1000,"")))</f>
        <v/>
      </c>
      <c r="AJ998" s="717" t="s">
        <v>2708</v>
      </c>
      <c r="AK998" s="824" t="s">
        <v>2731</v>
      </c>
      <c r="AL998" s="825">
        <f>IF(D998="",1,0)</f>
        <v>1</v>
      </c>
      <c r="AN998" s="821" t="str">
        <f>IF(K998=AJ998,AO998,IF(K998=AJ999,AO999,IF(K998=AJ1000,AO1000,"")))</f>
        <v/>
      </c>
      <c r="AO998" s="2" t="s">
        <v>2687</v>
      </c>
    </row>
    <row r="999" spans="1:43" ht="19.95" customHeight="1" thickBot="1">
      <c r="A999" s="716"/>
      <c r="B999" s="496"/>
      <c r="C999" s="603"/>
      <c r="D999" s="1047"/>
      <c r="E999" s="1048"/>
      <c r="F999" s="1048"/>
      <c r="G999" s="1048"/>
      <c r="H999" s="1048"/>
      <c r="I999" s="1048"/>
      <c r="J999" s="1049"/>
      <c r="K999" s="714"/>
      <c r="L999" s="714"/>
      <c r="M999" s="826" t="str">
        <f>AN998</f>
        <v/>
      </c>
      <c r="N999" s="200"/>
      <c r="O999" s="199"/>
      <c r="P999" s="24"/>
      <c r="Q999" s="24"/>
      <c r="R999" s="398"/>
      <c r="S999" s="398"/>
      <c r="T999" s="398"/>
      <c r="U999" s="398"/>
      <c r="V999" s="398"/>
      <c r="W999" s="398"/>
      <c r="X999" s="398"/>
      <c r="Y999" s="398"/>
      <c r="Z999" s="398"/>
      <c r="AA999" s="398"/>
      <c r="AB999" s="200"/>
      <c r="AI999" s="822">
        <f>IF(AI998=AJ998,AI$971,IF(AI998=AJ999,AJ$971,IF(AI998=AJ1000,AK$971,AL$971)))</f>
        <v>0</v>
      </c>
      <c r="AJ999" s="718" t="s">
        <v>2709</v>
      </c>
      <c r="AK999" s="824" t="s">
        <v>2732</v>
      </c>
      <c r="AO999" s="2" t="s">
        <v>3117</v>
      </c>
    </row>
    <row r="1000" spans="1:43" ht="10.050000000000001" customHeight="1">
      <c r="A1000" s="199"/>
      <c r="B1000" s="24"/>
      <c r="C1000" s="24"/>
      <c r="D1000" s="24"/>
      <c r="E1000" s="24"/>
      <c r="F1000" s="24"/>
      <c r="G1000" s="24"/>
      <c r="H1000" s="24"/>
      <c r="I1000" s="24"/>
      <c r="J1000" s="24"/>
      <c r="K1000" s="24"/>
      <c r="L1000" s="24"/>
      <c r="M1000" s="24"/>
      <c r="N1000" s="200"/>
      <c r="O1000" s="199"/>
      <c r="P1000" s="24"/>
      <c r="Q1000" s="24"/>
      <c r="R1000" s="398"/>
      <c r="S1000" s="398"/>
      <c r="T1000" s="398"/>
      <c r="U1000" s="398"/>
      <c r="V1000" s="398"/>
      <c r="W1000" s="398"/>
      <c r="X1000" s="398"/>
      <c r="Y1000" s="398"/>
      <c r="Z1000" s="398"/>
      <c r="AA1000" s="398"/>
      <c r="AB1000" s="200"/>
      <c r="AJ1000" s="718" t="s">
        <v>2710</v>
      </c>
      <c r="AK1000" s="824" t="s">
        <v>2733</v>
      </c>
      <c r="AO1000" s="2" t="s">
        <v>3117</v>
      </c>
    </row>
    <row r="1001" spans="1:43" ht="19.95" customHeight="1" thickBot="1">
      <c r="A1001" s="199"/>
      <c r="B1001" s="818" t="s">
        <v>3100</v>
      </c>
      <c r="C1001" s="807"/>
      <c r="D1001" s="807"/>
      <c r="E1001" s="807"/>
      <c r="F1001" s="807"/>
      <c r="G1001" s="807"/>
      <c r="H1001" s="807"/>
      <c r="I1001" s="807"/>
      <c r="J1001" s="807"/>
      <c r="K1001" s="807"/>
      <c r="L1001" s="807"/>
      <c r="M1001" s="807"/>
      <c r="N1001" s="200"/>
      <c r="O1001" s="199"/>
      <c r="P1001" s="24"/>
      <c r="Q1001" s="24"/>
      <c r="R1001" s="398"/>
      <c r="S1001" s="398"/>
      <c r="T1001" s="398"/>
      <c r="U1001" s="398"/>
      <c r="V1001" s="398"/>
      <c r="W1001" s="398"/>
      <c r="X1001" s="398"/>
      <c r="Y1001" s="398"/>
      <c r="Z1001" s="398"/>
      <c r="AA1001" s="398"/>
      <c r="AB1001" s="200"/>
      <c r="AI1001" s="822">
        <f>AI975+AI978+AI981+AI984+AI987+AI990+AI993+AI996+AI999</f>
        <v>0</v>
      </c>
      <c r="AL1001" s="2">
        <f>AL974+AL977+AL980+AL983+AL986+AL989+AL992+AL995+AL998</f>
        <v>9</v>
      </c>
      <c r="AQ1001" s="46" t="s">
        <v>3116</v>
      </c>
    </row>
    <row r="1002" spans="1:43" ht="25.05" customHeight="1" thickTop="1">
      <c r="A1002" s="199"/>
      <c r="B1002" s="808"/>
      <c r="C1002" s="809"/>
      <c r="D1002" s="809"/>
      <c r="E1002" s="809"/>
      <c r="F1002" s="809"/>
      <c r="G1002" s="809"/>
      <c r="H1002" s="810"/>
      <c r="I1002" s="819" t="str">
        <f>AI1002</f>
        <v>Fill all fields above to assess impactor's level of</v>
      </c>
      <c r="J1002" s="820" t="str">
        <f>AI1003</f>
        <v>legitimacy.</v>
      </c>
      <c r="K1002" s="811"/>
      <c r="L1002" s="811"/>
      <c r="M1002" s="812"/>
      <c r="N1002" s="200"/>
      <c r="O1002" s="199"/>
      <c r="P1002" s="24"/>
      <c r="Q1002" s="24"/>
      <c r="R1002" s="398"/>
      <c r="S1002" s="398"/>
      <c r="T1002" s="398"/>
      <c r="U1002" s="398"/>
      <c r="V1002" s="398"/>
      <c r="W1002" s="398"/>
      <c r="X1002" s="398"/>
      <c r="Y1002" s="398"/>
      <c r="Z1002" s="398"/>
      <c r="AA1002" s="398"/>
      <c r="AB1002" s="200"/>
      <c r="AI1002" s="2" t="str">
        <f>IF(AL$1001&gt;0,AJ1002,AK1002)</f>
        <v>Fill all fields above to assess impactor's level of</v>
      </c>
      <c r="AJ1002" s="2" t="s">
        <v>3115</v>
      </c>
      <c r="AK1002" s="2" t="str">
        <f>IF(AND($AI$1001&gt;AM$1002,$AI$1001&lt;=AN$1002),AO1002,IF(AND($AI$1001&gt;AM$1003,$AI$1001&lt;=AN$1003),AO1003,IF(AND($AI$1001&gt;AM$1004,$AI$1001&lt;=AN$1004),AO1004,IF(AND($AI$1001&gt;AM$1005,$AI$1001&lt;=AN$1005),AO1005,IF(AND($AI$1001&gt;=AM$1006,$AI$1001&lt;=AN$1006),AO1006,"")))))</f>
        <v>Based on our assessment, you are recognized as a</v>
      </c>
      <c r="AM1002" s="2">
        <f>AN1002-AN$971</f>
        <v>14.4</v>
      </c>
      <c r="AN1002" s="2">
        <f>AI972</f>
        <v>18</v>
      </c>
      <c r="AO1002" s="2" t="s">
        <v>3104</v>
      </c>
      <c r="AP1002" s="37" t="s">
        <v>3105</v>
      </c>
      <c r="AQ1002" s="46" t="s">
        <v>3110</v>
      </c>
    </row>
    <row r="1003" spans="1:43" ht="18" customHeight="1">
      <c r="A1003" s="199"/>
      <c r="B1003" s="1482" t="str">
        <f>AI1004</f>
        <v>BY HONESTLY ASSESSING THE POWERHOLDER'S IMPACT, YOU GIVE THEM DIRECT FEEDBACK THEY RARELY RECEIVE. YOU PROVIDE A CONCILIATORY PROCESS TO IMPROVE THEIR IMPACT. YOU INCENTIVIZE THEM TO SUPPORT YOUR MUTUALLY BENEFICIAL CAUSE.</v>
      </c>
      <c r="C1003" s="1483"/>
      <c r="D1003" s="1483"/>
      <c r="E1003" s="1483"/>
      <c r="F1003" s="1483"/>
      <c r="G1003" s="1483"/>
      <c r="H1003" s="1483"/>
      <c r="I1003" s="1483"/>
      <c r="J1003" s="1483"/>
      <c r="K1003" s="1483"/>
      <c r="L1003" s="1483"/>
      <c r="M1003" s="1484"/>
      <c r="N1003" s="200"/>
      <c r="O1003" s="199"/>
      <c r="P1003" s="24"/>
      <c r="Q1003" s="24"/>
      <c r="R1003" s="398"/>
      <c r="S1003" s="398"/>
      <c r="T1003" s="398"/>
      <c r="U1003" s="398"/>
      <c r="V1003" s="398"/>
      <c r="W1003" s="398"/>
      <c r="X1003" s="398"/>
      <c r="Y1003" s="398"/>
      <c r="Z1003" s="398"/>
      <c r="AA1003" s="398"/>
      <c r="AB1003" s="200"/>
      <c r="AI1003" s="37" t="str">
        <f>IF(AL$1001&gt;0,AJ1003,AK1003)</f>
        <v>legitimacy.</v>
      </c>
      <c r="AJ1003" s="2" t="s">
        <v>3114</v>
      </c>
      <c r="AK1003" s="2" t="str">
        <f>IF(AND($AI$1001&gt;AM$1002,$AI$1001&lt;=AN$1002),AP1002,IF(AND($AI$1001&gt;AM$1003,$AI$1001&lt;=AN$1003),AP1003,IF(AND($AI$1001&gt;AM$1004,$AI$1001&lt;=AN$1004),AP1004,IF(AND($AI$1001&gt;AM$1005,$AI$1001&lt;=AN$1005),AP1005,IF(AND($AI$1001&gt;=AM$1006,$AI$1001&lt;=AN$1006),AP1006,"")))))</f>
        <v>disqualified impactor:</v>
      </c>
      <c r="AM1003" s="2">
        <f>AN1003-AN$971</f>
        <v>10.8</v>
      </c>
      <c r="AN1003" s="2">
        <f>AM1002</f>
        <v>14.4</v>
      </c>
      <c r="AO1003" s="2" t="s">
        <v>3104</v>
      </c>
      <c r="AP1003" s="823" t="s">
        <v>3106</v>
      </c>
      <c r="AQ1003" s="46" t="s">
        <v>3102</v>
      </c>
    </row>
    <row r="1004" spans="1:43" ht="18" customHeight="1">
      <c r="A1004" s="199"/>
      <c r="B1004" s="1482"/>
      <c r="C1004" s="1483"/>
      <c r="D1004" s="1483"/>
      <c r="E1004" s="1483"/>
      <c r="F1004" s="1483"/>
      <c r="G1004" s="1483"/>
      <c r="H1004" s="1483"/>
      <c r="I1004" s="1483"/>
      <c r="J1004" s="1483"/>
      <c r="K1004" s="1483"/>
      <c r="L1004" s="1483"/>
      <c r="M1004" s="1484"/>
      <c r="N1004" s="200"/>
      <c r="O1004" s="199"/>
      <c r="P1004" s="24"/>
      <c r="Q1004" s="24"/>
      <c r="R1004" s="398"/>
      <c r="S1004" s="398"/>
      <c r="T1004" s="398"/>
      <c r="U1004" s="398"/>
      <c r="V1004" s="398"/>
      <c r="W1004" s="398"/>
      <c r="X1004" s="398"/>
      <c r="Y1004" s="398"/>
      <c r="Z1004" s="398"/>
      <c r="AA1004" s="398"/>
      <c r="AB1004" s="200"/>
      <c r="AI1004" s="46" t="str">
        <f>IF(AL$1001&gt;0,AJ1004,AK1004)</f>
        <v>BY HONESTLY ASSESSING THE POWERHOLDER'S IMPACT, YOU GIVE THEM DIRECT FEEDBACK THEY RARELY RECEIVE. YOU PROVIDE A CONCILIATORY PROCESS TO IMPROVE THEIR IMPACT. YOU INCENTIVIZE THEM TO SUPPORT YOUR MUTUALLY BENEFICIAL CAUSE.</v>
      </c>
      <c r="AJ1004" s="2" t="str">
        <f>AQ1001</f>
        <v>BY HONESTLY ASSESSING THE POWERHOLDER'S IMPACT, YOU GIVE THEM DIRECT FEEDBACK THEY RARELY RECEIVE. YOU PROVIDE A CONCILIATORY PROCESS TO IMPROVE THEIR IMPACT. YOU INCENTIVIZE THEM TO SUPPORT YOUR MUTUALLY BENEFICIAL CAUSE.</v>
      </c>
      <c r="AK1004" s="2" t="str">
        <f>IF(AND($AI$1001&gt;AM$1002,$AI$1001&lt;=AN$1002),AQ1002,IF(AND($AI$1001&gt;AM$1003,$AI$1001&lt;=AN$1003),AQ1003,IF(AND($AI$1001&gt;AM$1004,$AI$1001&lt;=AN$1004),AQ1004,IF(AND($AI$1001&gt;AM$1005,$AI$1001&lt;=AN$1005),AQ1005,IF(AND($AI$1001&gt;=AM$1006,$AI$1001&lt;=AN$1006),AQ1006,"")))))</f>
        <v>You fail to demonstrate a conciliatory responsiveness to any needs you impact in this relation. We challenge your legitimacy to impact us at all. We can help you improve your responsiveness to the needs you impact. Then we can  audit you again to publicly recognize your improvements.</v>
      </c>
      <c r="AM1004" s="2">
        <f>AN1004-AN$971</f>
        <v>7.2000000000000011</v>
      </c>
      <c r="AN1004" s="2">
        <f>AM1003</f>
        <v>10.8</v>
      </c>
      <c r="AO1004" s="2" t="s">
        <v>3101</v>
      </c>
      <c r="AP1004" s="37" t="s">
        <v>3107</v>
      </c>
      <c r="AQ1004" s="46" t="s">
        <v>3111</v>
      </c>
    </row>
    <row r="1005" spans="1:43" ht="18" customHeight="1" thickBot="1">
      <c r="A1005" s="199"/>
      <c r="B1005" s="1482"/>
      <c r="C1005" s="1483"/>
      <c r="D1005" s="1483"/>
      <c r="E1005" s="1483"/>
      <c r="F1005" s="1483"/>
      <c r="G1005" s="1483"/>
      <c r="H1005" s="1483"/>
      <c r="I1005" s="1483"/>
      <c r="J1005" s="1483"/>
      <c r="K1005" s="1483"/>
      <c r="L1005" s="1483"/>
      <c r="M1005" s="1484"/>
      <c r="N1005" s="200"/>
      <c r="O1005" s="199"/>
      <c r="P1005" s="24"/>
      <c r="Q1005" s="24"/>
      <c r="R1005" s="398"/>
      <c r="S1005" s="398"/>
      <c r="T1005" s="398"/>
      <c r="U1005" s="398"/>
      <c r="V1005" s="398"/>
      <c r="W1005" s="398"/>
      <c r="X1005" s="398"/>
      <c r="Y1005" s="398"/>
      <c r="Z1005" s="398"/>
      <c r="AA1005" s="398"/>
      <c r="AB1005" s="200"/>
      <c r="AM1005" s="2">
        <f>AN1005-AN$971</f>
        <v>3.600000000000001</v>
      </c>
      <c r="AN1005" s="2">
        <f>AM1004</f>
        <v>7.2000000000000011</v>
      </c>
      <c r="AO1005" s="2" t="s">
        <v>3101</v>
      </c>
      <c r="AP1005" s="37" t="s">
        <v>3108</v>
      </c>
      <c r="AQ1005" s="46" t="s">
        <v>3112</v>
      </c>
    </row>
    <row r="1006" spans="1:43" ht="19.95" customHeight="1" thickTop="1" thickBot="1">
      <c r="A1006" s="199"/>
      <c r="B1006" s="814"/>
      <c r="C1006" s="806"/>
      <c r="D1006" s="806"/>
      <c r="E1006" s="806"/>
      <c r="F1006" s="806"/>
      <c r="G1006" s="1471" t="str">
        <f>IF(AL1001=0,AK1006,"READY?")</f>
        <v>READY?</v>
      </c>
      <c r="H1006" s="1472"/>
      <c r="I1006" s="806"/>
      <c r="J1006" s="806"/>
      <c r="K1006" s="806"/>
      <c r="L1006" s="806"/>
      <c r="M1006" s="813"/>
      <c r="N1006" s="200"/>
      <c r="O1006" s="199"/>
      <c r="P1006" s="24"/>
      <c r="Q1006" s="24"/>
      <c r="R1006" s="398"/>
      <c r="S1006" s="398"/>
      <c r="T1006" s="398"/>
      <c r="U1006" s="398"/>
      <c r="V1006" s="398"/>
      <c r="W1006" s="398"/>
      <c r="X1006" s="398"/>
      <c r="Y1006" s="398"/>
      <c r="Z1006" s="398"/>
      <c r="AA1006" s="398"/>
      <c r="AB1006" s="200"/>
      <c r="AK1006" s="2" t="s">
        <v>3103</v>
      </c>
      <c r="AM1006" s="2">
        <f>AN1006-AN$971</f>
        <v>0</v>
      </c>
      <c r="AN1006" s="2">
        <f>AM1005</f>
        <v>3.600000000000001</v>
      </c>
      <c r="AO1006" s="2" t="s">
        <v>3104</v>
      </c>
      <c r="AP1006" s="37" t="s">
        <v>3109</v>
      </c>
      <c r="AQ1006" s="46" t="s">
        <v>3113</v>
      </c>
    </row>
    <row r="1007" spans="1:43" ht="4.95" customHeight="1" thickTop="1" thickBot="1">
      <c r="A1007" s="199"/>
      <c r="B1007" s="815"/>
      <c r="C1007" s="816"/>
      <c r="D1007" s="816"/>
      <c r="E1007" s="816"/>
      <c r="F1007" s="816"/>
      <c r="G1007" s="816"/>
      <c r="H1007" s="816"/>
      <c r="I1007" s="816"/>
      <c r="J1007" s="816"/>
      <c r="K1007" s="816"/>
      <c r="L1007" s="816"/>
      <c r="M1007" s="817"/>
      <c r="N1007" s="200"/>
      <c r="O1007" s="199"/>
      <c r="P1007" s="24"/>
      <c r="Q1007" s="24"/>
      <c r="R1007" s="398"/>
      <c r="S1007" s="398"/>
      <c r="T1007" s="398"/>
      <c r="U1007" s="398"/>
      <c r="V1007" s="398"/>
      <c r="W1007" s="398"/>
      <c r="X1007" s="398"/>
      <c r="Y1007" s="398"/>
      <c r="Z1007" s="398"/>
      <c r="AA1007" s="398"/>
      <c r="AB1007" s="200"/>
    </row>
    <row r="1008" spans="1:43" ht="4.95" customHeight="1" thickTop="1">
      <c r="A1008" s="199"/>
      <c r="B1008" s="24"/>
      <c r="C1008" s="24"/>
      <c r="D1008" s="24"/>
      <c r="E1008" s="24"/>
      <c r="F1008" s="24"/>
      <c r="G1008" s="24"/>
      <c r="H1008" s="24"/>
      <c r="I1008" s="24"/>
      <c r="J1008" s="24"/>
      <c r="K1008" s="24"/>
      <c r="L1008" s="24"/>
      <c r="M1008" s="24"/>
      <c r="N1008" s="200"/>
      <c r="O1008" s="199"/>
      <c r="P1008" s="24"/>
      <c r="Q1008" s="24"/>
      <c r="R1008" s="398"/>
      <c r="S1008" s="398"/>
      <c r="T1008" s="398"/>
      <c r="U1008" s="398"/>
      <c r="V1008" s="398"/>
      <c r="W1008" s="398"/>
      <c r="X1008" s="398"/>
      <c r="Y1008" s="398"/>
      <c r="Z1008" s="398"/>
      <c r="AA1008" s="398"/>
      <c r="AB1008" s="200"/>
    </row>
    <row r="1009" spans="1:50" ht="30" customHeight="1">
      <c r="A1009" s="210" t="s">
        <v>1148</v>
      </c>
      <c r="B1009" s="888" t="s">
        <v>2032</v>
      </c>
      <c r="C1009" s="888"/>
      <c r="D1009" s="888"/>
      <c r="E1009" s="888"/>
      <c r="F1009" s="888"/>
      <c r="G1009" s="888"/>
      <c r="H1009" s="888"/>
      <c r="I1009" s="888"/>
      <c r="J1009" s="888"/>
      <c r="K1009" s="582"/>
      <c r="L1009" s="373"/>
      <c r="M1009" s="373"/>
      <c r="N1009" s="211" t="s">
        <v>1149</v>
      </c>
      <c r="O1009" s="372"/>
      <c r="P1009" s="396" t="s">
        <v>1273</v>
      </c>
      <c r="Q1009" s="373"/>
      <c r="R1009" s="373"/>
      <c r="S1009" s="373"/>
      <c r="T1009" s="373"/>
      <c r="U1009" s="373"/>
      <c r="V1009" s="373"/>
      <c r="W1009" s="373"/>
      <c r="X1009" s="373"/>
      <c r="Y1009" s="373"/>
      <c r="Z1009" s="373"/>
      <c r="AA1009" s="373"/>
      <c r="AB1009" s="211" t="s">
        <v>1149</v>
      </c>
    </row>
    <row r="1010" spans="1:50" ht="10.050000000000001" customHeight="1">
      <c r="A1010" s="199"/>
      <c r="B1010" s="24"/>
      <c r="C1010" s="24"/>
      <c r="D1010" s="24"/>
      <c r="E1010" s="24"/>
      <c r="F1010" s="24"/>
      <c r="G1010" s="24"/>
      <c r="H1010" s="24"/>
      <c r="I1010" s="24"/>
      <c r="J1010" s="24"/>
      <c r="K1010" s="24"/>
      <c r="L1010" s="24"/>
      <c r="M1010" s="24"/>
      <c r="N1010" s="200"/>
      <c r="O1010" s="199"/>
      <c r="P1010" s="24"/>
      <c r="Q1010" s="24"/>
      <c r="R1010" s="398"/>
      <c r="S1010" s="398"/>
      <c r="T1010" s="398"/>
      <c r="U1010" s="398"/>
      <c r="V1010" s="398"/>
      <c r="W1010" s="398"/>
      <c r="X1010" s="398"/>
      <c r="Y1010" s="398"/>
      <c r="Z1010" s="398"/>
      <c r="AA1010" s="398"/>
      <c r="AB1010" s="200"/>
      <c r="AN1010" s="2" t="s">
        <v>3123</v>
      </c>
      <c r="AO1010" s="2" t="s">
        <v>3128</v>
      </c>
    </row>
    <row r="1011" spans="1:50" ht="25.05" customHeight="1">
      <c r="A1011" s="199"/>
      <c r="B1011" s="1396" t="s">
        <v>3138</v>
      </c>
      <c r="C1011" s="1396"/>
      <c r="D1011" s="1396"/>
      <c r="E1011" s="1396"/>
      <c r="F1011" s="1396"/>
      <c r="G1011" s="1396"/>
      <c r="H1011" s="1396"/>
      <c r="I1011" s="1396"/>
      <c r="J1011" s="1396"/>
      <c r="K1011" s="1396"/>
      <c r="L1011" s="1396"/>
      <c r="M1011" s="1396"/>
      <c r="N1011" s="200"/>
      <c r="O1011" s="199"/>
      <c r="P1011" s="24"/>
      <c r="Q1011" s="24"/>
      <c r="R1011" s="398"/>
      <c r="S1011" s="398"/>
      <c r="T1011" s="398"/>
      <c r="U1011" s="398"/>
      <c r="V1011" s="398"/>
      <c r="W1011" s="398"/>
      <c r="X1011" s="398"/>
      <c r="Y1011" s="398"/>
      <c r="Z1011" s="398"/>
      <c r="AA1011" s="398"/>
      <c r="AB1011" s="200"/>
      <c r="AI1011" s="2" t="s">
        <v>3120</v>
      </c>
      <c r="AN1011" s="2" t="s">
        <v>3142</v>
      </c>
      <c r="AO1011" s="2" t="s">
        <v>3130</v>
      </c>
    </row>
    <row r="1012" spans="1:50" ht="10.050000000000001" customHeight="1" thickBot="1">
      <c r="A1012" s="199"/>
      <c r="B1012" s="24"/>
      <c r="C1012" s="24"/>
      <c r="D1012" s="24"/>
      <c r="E1012" s="24"/>
      <c r="F1012" s="24"/>
      <c r="G1012" s="24"/>
      <c r="H1012" s="24"/>
      <c r="I1012" s="24"/>
      <c r="J1012" s="24"/>
      <c r="K1012" s="24"/>
      <c r="L1012" s="24"/>
      <c r="M1012" s="24"/>
      <c r="N1012" s="200"/>
      <c r="O1012" s="199"/>
      <c r="P1012" s="24"/>
      <c r="Q1012" s="24"/>
      <c r="R1012" s="398"/>
      <c r="S1012" s="398"/>
      <c r="T1012" s="398"/>
      <c r="U1012" s="398"/>
      <c r="V1012" s="398"/>
      <c r="W1012" s="398"/>
      <c r="X1012" s="398"/>
      <c r="Y1012" s="398"/>
      <c r="Z1012" s="398"/>
      <c r="AA1012" s="398"/>
      <c r="AB1012" s="200"/>
      <c r="AI1012" s="2" t="s">
        <v>3121</v>
      </c>
      <c r="AN1012" s="2" t="s">
        <v>3143</v>
      </c>
      <c r="AO1012" s="2" t="s">
        <v>3131</v>
      </c>
    </row>
    <row r="1013" spans="1:50" s="504" customFormat="1" ht="19.95" customHeight="1" thickBot="1">
      <c r="A1013" s="499"/>
      <c r="B1013" s="827" t="s">
        <v>3139</v>
      </c>
      <c r="C1013" s="601"/>
      <c r="D1013" s="601"/>
      <c r="E1013" s="601"/>
      <c r="F1013" s="601"/>
      <c r="G1013" s="24"/>
      <c r="H1013" s="732" t="s">
        <v>3140</v>
      </c>
      <c r="I1013" s="1351"/>
      <c r="J1013" s="1352"/>
      <c r="K1013" s="1352"/>
      <c r="L1013" s="1352"/>
      <c r="M1013" s="1353"/>
      <c r="N1013" s="502"/>
      <c r="O1013" s="499"/>
      <c r="P1013" s="501"/>
      <c r="Q1013" s="501"/>
      <c r="R1013" s="503"/>
      <c r="S1013" s="503"/>
      <c r="T1013" s="503"/>
      <c r="U1013" s="503"/>
      <c r="V1013" s="503"/>
      <c r="W1013" s="503"/>
      <c r="X1013" s="503"/>
      <c r="Y1013" s="503"/>
      <c r="Z1013" s="503"/>
      <c r="AA1013" s="503"/>
      <c r="AB1013" s="502"/>
      <c r="AI1013" s="2" t="str">
        <f>CONCATENATE(AK1013,AL1013,AM1013)</f>
        <v>direct impactor(s) on issue</v>
      </c>
      <c r="AK1013" s="504" t="s">
        <v>3122</v>
      </c>
      <c r="AL1013" s="504" t="str">
        <f>IF(H115="","issue",D1300)</f>
        <v>issue</v>
      </c>
      <c r="AN1013" s="2" t="s">
        <v>3144</v>
      </c>
      <c r="AO1013" s="2" t="s">
        <v>3132</v>
      </c>
      <c r="AP1013" s="2"/>
      <c r="AQ1013" s="2"/>
      <c r="AR1013" s="2"/>
      <c r="AS1013" s="2"/>
      <c r="AT1013" s="2"/>
      <c r="AU1013" s="2"/>
      <c r="AV1013" s="2"/>
      <c r="AW1013" s="733" t="s">
        <v>2923</v>
      </c>
      <c r="AX1013" s="37" t="s">
        <v>2065</v>
      </c>
    </row>
    <row r="1014" spans="1:50" ht="19.05" customHeight="1">
      <c r="A1014" s="199"/>
      <c r="B1014" s="505"/>
      <c r="C1014" s="505"/>
      <c r="D1014" s="505"/>
      <c r="E1014" s="505"/>
      <c r="F1014" s="505"/>
      <c r="G1014" s="505"/>
      <c r="H1014" s="505"/>
      <c r="I1014" s="24"/>
      <c r="J1014" s="24"/>
      <c r="K1014" s="24"/>
      <c r="L1014" s="24"/>
      <c r="M1014" s="24"/>
      <c r="N1014" s="200"/>
      <c r="O1014" s="199"/>
      <c r="P1014" s="24"/>
      <c r="Q1014" s="24"/>
      <c r="R1014" s="398"/>
      <c r="S1014" s="398"/>
      <c r="T1014" s="398"/>
      <c r="U1014" s="398"/>
      <c r="V1014" s="398"/>
      <c r="W1014" s="398"/>
      <c r="X1014" s="398"/>
      <c r="Y1014" s="398"/>
      <c r="Z1014" s="398"/>
      <c r="AA1014" s="398"/>
      <c r="AB1014" s="200"/>
      <c r="AI1014" s="2" t="str">
        <f>IF(I1013=AI1011,AN1011,IF(I1013=AI1012,AN1012,IF(I1013=AI1013,AN1013,AK1014)))</f>
        <v>directly involved</v>
      </c>
      <c r="AK1014" s="2" t="s">
        <v>3141</v>
      </c>
      <c r="AO1014" s="2" t="str">
        <f>IF(I1013=AI1011,AO1011,IF(I1013=AI1012,AO1012,IF(I1013=AI1013,AO1013,"Directly involved")))</f>
        <v>Directly involved</v>
      </c>
      <c r="AR1014" s="459">
        <v>1</v>
      </c>
      <c r="AT1014" s="465" t="str">
        <f>IF(C$814=AK$798,AW1014,IF(C$814=AK$799,AP1014,IF(C$814=AK$800,#REF!,"")))</f>
        <v/>
      </c>
      <c r="AV1014" s="735" t="s">
        <v>2926</v>
      </c>
      <c r="AW1014" s="2" t="s">
        <v>2919</v>
      </c>
    </row>
    <row r="1015" spans="1:50" ht="19.05" customHeight="1">
      <c r="A1015" s="199"/>
      <c r="B1015" s="1473" t="s">
        <v>3124</v>
      </c>
      <c r="C1015" s="1474"/>
      <c r="D1015" s="1474"/>
      <c r="E1015" s="1474"/>
      <c r="F1015" s="1474"/>
      <c r="G1015" s="1474"/>
      <c r="H1015" s="1474"/>
      <c r="I1015" s="1474"/>
      <c r="J1015" s="1474"/>
      <c r="K1015" s="1474"/>
      <c r="L1015" s="1474"/>
      <c r="M1015" s="1475"/>
      <c r="N1015" s="200"/>
      <c r="O1015" s="199"/>
      <c r="P1015" s="24"/>
      <c r="Q1015" s="24"/>
      <c r="R1015" s="398"/>
      <c r="S1015" s="398"/>
      <c r="T1015" s="398"/>
      <c r="U1015" s="398"/>
      <c r="V1015" s="398"/>
      <c r="W1015" s="398"/>
      <c r="X1015" s="398"/>
      <c r="Y1015" s="398"/>
      <c r="Z1015" s="398"/>
      <c r="AA1015" s="398"/>
      <c r="AB1015" s="200"/>
      <c r="AR1015" s="459">
        <v>2</v>
      </c>
      <c r="AT1015" s="465" t="str">
        <f>IF(C$814=AK$798,AW1015,IF(C$814=AK$799,AP1015,IF(C$814=AK$800,#REF!,"")))</f>
        <v/>
      </c>
      <c r="AV1015" s="735" t="s">
        <v>2927</v>
      </c>
      <c r="AW1015" s="2" t="s">
        <v>2920</v>
      </c>
    </row>
    <row r="1016" spans="1:50" ht="19.05" customHeight="1">
      <c r="A1016" s="199"/>
      <c r="B1016" s="1469"/>
      <c r="C1016" s="1322"/>
      <c r="D1016" s="1322"/>
      <c r="E1016" s="1322"/>
      <c r="F1016" s="1322"/>
      <c r="G1016" s="1322"/>
      <c r="H1016" s="1322"/>
      <c r="I1016" s="1322"/>
      <c r="J1016" s="1322"/>
      <c r="K1016" s="1322"/>
      <c r="L1016" s="1322"/>
      <c r="M1016" s="1470"/>
      <c r="N1016" s="200"/>
      <c r="O1016" s="199"/>
      <c r="P1016" s="24"/>
      <c r="Q1016" s="24"/>
      <c r="R1016" s="398"/>
      <c r="S1016" s="398"/>
      <c r="T1016" s="398"/>
      <c r="U1016" s="398"/>
      <c r="V1016" s="398"/>
      <c r="W1016" s="398"/>
      <c r="X1016" s="398"/>
      <c r="Y1016" s="398"/>
      <c r="Z1016" s="398"/>
      <c r="AA1016" s="398"/>
      <c r="AB1016" s="200"/>
      <c r="AR1016" s="459">
        <v>3</v>
      </c>
      <c r="AT1016" s="465" t="str">
        <f>IF(C$814=AK$798,AW1016,IF(C$814=AK$799,AP1016,IF(C$814=AK$800,#REF!,"")))</f>
        <v/>
      </c>
      <c r="AV1016" s="735" t="s">
        <v>2926</v>
      </c>
      <c r="AW1016" s="2" t="s">
        <v>2921</v>
      </c>
    </row>
    <row r="1017" spans="1:50" ht="19.05" customHeight="1">
      <c r="A1017" s="199"/>
      <c r="B1017" s="1469"/>
      <c r="C1017" s="1322"/>
      <c r="D1017" s="1322"/>
      <c r="E1017" s="1322"/>
      <c r="F1017" s="1322"/>
      <c r="G1017" s="1322"/>
      <c r="H1017" s="1322"/>
      <c r="I1017" s="1322"/>
      <c r="J1017" s="1322"/>
      <c r="K1017" s="1322"/>
      <c r="L1017" s="1322"/>
      <c r="M1017" s="1470"/>
      <c r="N1017" s="200"/>
      <c r="O1017" s="199"/>
      <c r="P1017" s="24"/>
      <c r="Q1017" s="24"/>
      <c r="R1017" s="398"/>
      <c r="S1017" s="398"/>
      <c r="T1017" s="398"/>
      <c r="U1017" s="398"/>
      <c r="V1017" s="398"/>
      <c r="W1017" s="398"/>
      <c r="X1017" s="398"/>
      <c r="Y1017" s="398"/>
      <c r="Z1017" s="398"/>
      <c r="AA1017" s="398"/>
      <c r="AB1017" s="200"/>
      <c r="AR1017" s="459">
        <v>4</v>
      </c>
      <c r="AT1017" s="465" t="str">
        <f>IF(C$814=AK$798,AW1017,IF(C$814=AK$799,AP1017,IF(C$814=AK$800,#REF!,"")))</f>
        <v/>
      </c>
    </row>
    <row r="1018" spans="1:50" ht="19.05" customHeight="1">
      <c r="A1018" s="199"/>
      <c r="B1018" s="1469" t="str">
        <f>AI1018</f>
        <v>We recognize the enemy is not each other of different political views, but political divisiveness itself. We build a bridge of love to address each other’s specific issue-related needs. Including yours.</v>
      </c>
      <c r="C1018" s="1322"/>
      <c r="D1018" s="1322"/>
      <c r="E1018" s="1322"/>
      <c r="F1018" s="1322"/>
      <c r="G1018" s="1322"/>
      <c r="H1018" s="1322"/>
      <c r="I1018" s="1322"/>
      <c r="J1018" s="1322"/>
      <c r="K1018" s="1322"/>
      <c r="L1018" s="1322"/>
      <c r="M1018" s="1470"/>
      <c r="N1018" s="200"/>
      <c r="O1018" s="199"/>
      <c r="P1018" s="24"/>
      <c r="Q1018" s="24"/>
      <c r="R1018" s="398"/>
      <c r="S1018" s="398"/>
      <c r="T1018" s="398"/>
      <c r="U1018" s="398"/>
      <c r="V1018" s="398"/>
      <c r="W1018" s="398"/>
      <c r="X1018" s="398"/>
      <c r="Y1018" s="398"/>
      <c r="Z1018" s="398"/>
      <c r="AA1018" s="398"/>
      <c r="AB1018" s="200"/>
      <c r="AI1018" s="459" t="str">
        <f>CONCATENATE(AK1018,AL1018,AM1018,AN1018)</f>
        <v>We recognize the enemy is not each other of different political views, but political divisiveness itself. We build a bridge of love to address each other’s specific issue-related needs. Including yours.</v>
      </c>
      <c r="AK1018" s="465" t="s">
        <v>3125</v>
      </c>
      <c r="AL1018" s="2" t="str">
        <f>$AL$1013</f>
        <v>issue</v>
      </c>
      <c r="AM1018" s="466" t="s">
        <v>3126</v>
      </c>
      <c r="AR1018" s="459">
        <v>5</v>
      </c>
      <c r="AT1018" s="465" t="str">
        <f>IF(C$814=AK$798,AW1018,IF(C$814=AK$799,AP1018,IF(C$814=AK$800,#REF!,"")))</f>
        <v/>
      </c>
      <c r="AW1018" s="733" t="s">
        <v>2922</v>
      </c>
      <c r="AX1018" s="37" t="s">
        <v>2928</v>
      </c>
    </row>
    <row r="1019" spans="1:50" ht="19.05" customHeight="1">
      <c r="A1019" s="199"/>
      <c r="B1019" s="1469"/>
      <c r="C1019" s="1322"/>
      <c r="D1019" s="1322"/>
      <c r="E1019" s="1322"/>
      <c r="F1019" s="1322"/>
      <c r="G1019" s="1322"/>
      <c r="H1019" s="1322"/>
      <c r="I1019" s="1322"/>
      <c r="J1019" s="1322"/>
      <c r="K1019" s="1322"/>
      <c r="L1019" s="1322"/>
      <c r="M1019" s="1470"/>
      <c r="N1019" s="200"/>
      <c r="O1019" s="199"/>
      <c r="P1019" s="24"/>
      <c r="Q1019" s="24"/>
      <c r="R1019" s="398"/>
      <c r="S1019" s="398"/>
      <c r="T1019" s="398"/>
      <c r="U1019" s="398"/>
      <c r="V1019" s="398"/>
      <c r="W1019" s="398"/>
      <c r="X1019" s="398"/>
      <c r="Y1019" s="398"/>
      <c r="Z1019" s="398"/>
      <c r="AA1019" s="398"/>
      <c r="AB1019" s="200"/>
      <c r="AR1019" s="459">
        <v>6</v>
      </c>
      <c r="AT1019" s="465" t="str">
        <f>IF(C$814=AK$798,AW1019,IF(C$814=AK$799,AP1019,IF(C$814=AK$800,#REF!,"")))</f>
        <v/>
      </c>
      <c r="AV1019" s="735" t="s">
        <v>2926</v>
      </c>
      <c r="AW1019" s="2" t="s">
        <v>2919</v>
      </c>
    </row>
    <row r="1020" spans="1:50" ht="19.05" customHeight="1">
      <c r="A1020" s="199"/>
      <c r="B1020" s="1469"/>
      <c r="C1020" s="1322"/>
      <c r="D1020" s="1322"/>
      <c r="E1020" s="1322"/>
      <c r="F1020" s="1322"/>
      <c r="G1020" s="1322"/>
      <c r="H1020" s="1322"/>
      <c r="I1020" s="1322"/>
      <c r="J1020" s="1322"/>
      <c r="K1020" s="1322"/>
      <c r="L1020" s="1322"/>
      <c r="M1020" s="1470"/>
      <c r="N1020" s="200"/>
      <c r="O1020" s="199"/>
      <c r="P1020" s="24"/>
      <c r="Q1020" s="24"/>
      <c r="R1020" s="398"/>
      <c r="S1020" s="398"/>
      <c r="T1020" s="398"/>
      <c r="U1020" s="398"/>
      <c r="V1020" s="398"/>
      <c r="W1020" s="398"/>
      <c r="X1020" s="398"/>
      <c r="Y1020" s="398"/>
      <c r="Z1020" s="398"/>
      <c r="AA1020" s="398"/>
      <c r="AB1020" s="200"/>
      <c r="AR1020" s="459">
        <v>7</v>
      </c>
      <c r="AT1020" s="465" t="str">
        <f>IF(C$814=AK$798,AW1020,IF(C$814=AK$799,AP1020,IF(C$814=AK$800,#REF!,"")))</f>
        <v/>
      </c>
      <c r="AV1020" s="735" t="s">
        <v>2927</v>
      </c>
      <c r="AW1020" s="2" t="s">
        <v>2920</v>
      </c>
    </row>
    <row r="1021" spans="1:50" ht="19.05" customHeight="1">
      <c r="A1021" s="199"/>
      <c r="B1021" s="1469" t="str">
        <f>AI1021</f>
        <v>I invite you to join my campaign to resolve issue-related needs. Join me in replacing divisive politics with the love of respecting the affected need on both sides of the issue. You have two options. To follow or become directly involved.</v>
      </c>
      <c r="C1021" s="1322"/>
      <c r="D1021" s="1322"/>
      <c r="E1021" s="1322"/>
      <c r="F1021" s="1322"/>
      <c r="G1021" s="1322"/>
      <c r="H1021" s="1322"/>
      <c r="I1021" s="1322"/>
      <c r="J1021" s="1322"/>
      <c r="K1021" s="1322"/>
      <c r="L1021" s="1322"/>
      <c r="M1021" s="1470"/>
      <c r="N1021" s="200"/>
      <c r="O1021" s="199"/>
      <c r="P1021" s="24"/>
      <c r="Q1021" s="24"/>
      <c r="R1021" s="398"/>
      <c r="S1021" s="398"/>
      <c r="T1021" s="398"/>
      <c r="U1021" s="398"/>
      <c r="V1021" s="398"/>
      <c r="W1021" s="398"/>
      <c r="X1021" s="398"/>
      <c r="Y1021" s="398"/>
      <c r="Z1021" s="398"/>
      <c r="AA1021" s="398"/>
      <c r="AB1021" s="200"/>
      <c r="AI1021" s="459" t="str">
        <f>CONCATENATE(AK1021,AL1021,AM1021,AN1021,".")</f>
        <v>I invite you to join my campaign to resolve issue-related needs. Join me in replacing divisive politics with the love of respecting the affected need on both sides of the issue. You have two options. To follow or become directly involved.</v>
      </c>
      <c r="AK1021" s="465" t="s">
        <v>3127</v>
      </c>
      <c r="AL1021" s="2" t="str">
        <f>$AL$1013</f>
        <v>issue</v>
      </c>
      <c r="AM1021" s="466" t="s">
        <v>3145</v>
      </c>
      <c r="AN1021" s="2" t="str">
        <f>AI1014</f>
        <v>directly involved</v>
      </c>
      <c r="AV1021" s="735" t="s">
        <v>2926</v>
      </c>
      <c r="AW1021" s="2" t="s">
        <v>2921</v>
      </c>
    </row>
    <row r="1022" spans="1:50" ht="19.05" customHeight="1">
      <c r="A1022" s="199"/>
      <c r="B1022" s="1469"/>
      <c r="C1022" s="1322"/>
      <c r="D1022" s="1322"/>
      <c r="E1022" s="1322"/>
      <c r="F1022" s="1322"/>
      <c r="G1022" s="1322"/>
      <c r="H1022" s="1322"/>
      <c r="I1022" s="1322"/>
      <c r="J1022" s="1322"/>
      <c r="K1022" s="1322"/>
      <c r="L1022" s="1322"/>
      <c r="M1022" s="1470"/>
      <c r="N1022" s="200"/>
      <c r="O1022" s="199"/>
      <c r="P1022" s="24"/>
      <c r="Q1022" s="24"/>
      <c r="R1022" s="398"/>
      <c r="S1022" s="398"/>
      <c r="T1022" s="398"/>
      <c r="U1022" s="398"/>
      <c r="V1022" s="398"/>
      <c r="W1022" s="398"/>
      <c r="X1022" s="398"/>
      <c r="Y1022" s="398"/>
      <c r="Z1022" s="398"/>
      <c r="AA1022" s="398"/>
      <c r="AB1022" s="200"/>
      <c r="AR1022" s="2" t="s">
        <v>2854</v>
      </c>
      <c r="AT1022" s="459" t="s">
        <v>2066</v>
      </c>
    </row>
    <row r="1023" spans="1:50" ht="19.05" customHeight="1">
      <c r="A1023" s="199"/>
      <c r="B1023" s="1469"/>
      <c r="C1023" s="1322"/>
      <c r="D1023" s="1322"/>
      <c r="E1023" s="1322"/>
      <c r="F1023" s="1322"/>
      <c r="G1023" s="1322"/>
      <c r="H1023" s="1322"/>
      <c r="I1023" s="1322"/>
      <c r="J1023" s="1322"/>
      <c r="K1023" s="1322"/>
      <c r="L1023" s="1322"/>
      <c r="M1023" s="1470"/>
      <c r="N1023" s="200"/>
      <c r="O1023" s="199"/>
      <c r="P1023" s="24"/>
      <c r="Q1023" s="24"/>
      <c r="R1023" s="398"/>
      <c r="S1023" s="398"/>
      <c r="T1023" s="398"/>
      <c r="U1023" s="398"/>
      <c r="V1023" s="398"/>
      <c r="W1023" s="398"/>
      <c r="X1023" s="398"/>
      <c r="Y1023" s="398"/>
      <c r="Z1023" s="398"/>
      <c r="AA1023" s="398"/>
      <c r="AB1023" s="200"/>
      <c r="AR1023" s="2" t="s">
        <v>2855</v>
      </c>
      <c r="AT1023" s="459" t="s">
        <v>2067</v>
      </c>
      <c r="AW1023" s="733" t="s">
        <v>2924</v>
      </c>
      <c r="AX1023" s="37" t="s">
        <v>2929</v>
      </c>
    </row>
    <row r="1024" spans="1:50" ht="19.05" customHeight="1">
      <c r="A1024" s="199"/>
      <c r="B1024" s="828" t="s">
        <v>3128</v>
      </c>
      <c r="C1024" s="505"/>
      <c r="D1024" s="505"/>
      <c r="E1024" s="505"/>
      <c r="F1024" s="505"/>
      <c r="G1024" s="505"/>
      <c r="H1024" s="505"/>
      <c r="I1024" s="505"/>
      <c r="J1024" s="505"/>
      <c r="K1024" s="505"/>
      <c r="L1024" s="505"/>
      <c r="M1024" s="829"/>
      <c r="N1024" s="200"/>
      <c r="O1024" s="199"/>
      <c r="P1024" s="24"/>
      <c r="Q1024" s="24"/>
      <c r="R1024" s="398"/>
      <c r="S1024" s="398"/>
      <c r="T1024" s="398"/>
      <c r="U1024" s="398"/>
      <c r="V1024" s="398"/>
      <c r="W1024" s="398"/>
      <c r="X1024" s="398"/>
      <c r="Y1024" s="398"/>
      <c r="Z1024" s="398"/>
      <c r="AA1024" s="398"/>
      <c r="AB1024" s="200"/>
      <c r="AI1024" s="595" t="str">
        <f>IF(I1013=AI1011,AK1024,IF(I1013=AI1012,AK1025,IF(I1013=AI1013,AK1026,AM1024)))</f>
        <v>Support my need-resolving campaign with a weekly financial support level appropriate to your level of impact. Help empower the politically powerless to resolve needs in ways eluding the powerful.</v>
      </c>
      <c r="AK1024" s="564" t="s">
        <v>3135</v>
      </c>
      <c r="AM1024" s="466" t="s">
        <v>3146</v>
      </c>
      <c r="AR1024" s="2" t="s">
        <v>2856</v>
      </c>
      <c r="AT1024" s="459" t="s">
        <v>2820</v>
      </c>
      <c r="AV1024" s="735" t="s">
        <v>2926</v>
      </c>
      <c r="AW1024" s="2" t="s">
        <v>2919</v>
      </c>
    </row>
    <row r="1025" spans="1:50" ht="19.05" customHeight="1">
      <c r="A1025" s="199"/>
      <c r="B1025" s="1469" t="s">
        <v>3129</v>
      </c>
      <c r="C1025" s="1322"/>
      <c r="D1025" s="1322"/>
      <c r="E1025" s="1322"/>
      <c r="F1025" s="1322"/>
      <c r="G1025" s="1322"/>
      <c r="H1025" s="1322"/>
      <c r="I1025" s="1322"/>
      <c r="J1025" s="1322"/>
      <c r="K1025" s="1322"/>
      <c r="L1025" s="1322"/>
      <c r="M1025" s="1470"/>
      <c r="N1025" s="200"/>
      <c r="O1025" s="199"/>
      <c r="P1025" s="24"/>
      <c r="Q1025" s="24"/>
      <c r="R1025" s="398"/>
      <c r="S1025" s="398"/>
      <c r="T1025" s="398"/>
      <c r="U1025" s="398"/>
      <c r="V1025" s="398"/>
      <c r="W1025" s="398"/>
      <c r="X1025" s="398"/>
      <c r="Y1025" s="398"/>
      <c r="Z1025" s="398"/>
      <c r="AA1025" s="398"/>
      <c r="AB1025" s="200"/>
      <c r="AK1025" s="564" t="s">
        <v>3136</v>
      </c>
      <c r="AV1025" s="735" t="s">
        <v>2927</v>
      </c>
      <c r="AW1025" s="2" t="s">
        <v>2920</v>
      </c>
    </row>
    <row r="1026" spans="1:50" ht="19.05" customHeight="1">
      <c r="A1026" s="199"/>
      <c r="B1026" s="1469"/>
      <c r="C1026" s="1322"/>
      <c r="D1026" s="1322"/>
      <c r="E1026" s="1322"/>
      <c r="F1026" s="1322"/>
      <c r="G1026" s="1322"/>
      <c r="H1026" s="1322"/>
      <c r="I1026" s="1322"/>
      <c r="J1026" s="1322"/>
      <c r="K1026" s="1322"/>
      <c r="L1026" s="1322"/>
      <c r="M1026" s="1470"/>
      <c r="N1026" s="200"/>
      <c r="O1026" s="199"/>
      <c r="P1026" s="1312" t="s">
        <v>1771</v>
      </c>
      <c r="Q1026" s="1312"/>
      <c r="R1026" s="1312"/>
      <c r="S1026" s="1312"/>
      <c r="T1026" s="1312"/>
      <c r="U1026" s="1312"/>
      <c r="V1026" s="398"/>
      <c r="W1026" s="398"/>
      <c r="X1026" s="398"/>
      <c r="Y1026" s="398"/>
      <c r="Z1026" s="398"/>
      <c r="AA1026" s="398"/>
      <c r="AB1026" s="200"/>
      <c r="AK1026" s="564" t="str">
        <f>CONCATENATE(AK1027,AL1027,AM1027,AN1027)</f>
        <v>Become a patron to my need-resolving campaign by matching my current weekly level of support. Let's solve needs together.</v>
      </c>
      <c r="AV1026" s="735" t="s">
        <v>2926</v>
      </c>
      <c r="AW1026" s="2" t="s">
        <v>2921</v>
      </c>
    </row>
    <row r="1027" spans="1:50" ht="19.05" customHeight="1">
      <c r="A1027" s="199"/>
      <c r="B1027" s="828" t="str">
        <f>AO1014</f>
        <v>Directly involved</v>
      </c>
      <c r="C1027" s="505"/>
      <c r="D1027" s="505"/>
      <c r="E1027" s="505"/>
      <c r="F1027" s="505"/>
      <c r="G1027" s="505"/>
      <c r="H1027" s="505"/>
      <c r="I1027" s="505"/>
      <c r="J1027" s="505"/>
      <c r="K1027" s="505"/>
      <c r="L1027" s="505"/>
      <c r="M1027" s="829"/>
      <c r="N1027" s="200"/>
      <c r="O1027" s="199"/>
      <c r="P1027" s="24"/>
      <c r="Q1027" s="24"/>
      <c r="R1027" s="398"/>
      <c r="S1027" s="398"/>
      <c r="T1027" s="398"/>
      <c r="U1027" s="398"/>
      <c r="V1027" s="398"/>
      <c r="W1027" s="398"/>
      <c r="X1027" s="398"/>
      <c r="Y1027" s="398"/>
      <c r="Z1027" s="398"/>
      <c r="AA1027" s="398"/>
      <c r="AB1027" s="200"/>
      <c r="AK1027" s="465" t="s">
        <v>3133</v>
      </c>
      <c r="AL1027" s="2" t="str">
        <f>IF(H115="","",CONCATENATE($AL$1013,"-related "))</f>
        <v/>
      </c>
      <c r="AM1027" s="466" t="s">
        <v>3134</v>
      </c>
    </row>
    <row r="1028" spans="1:50" ht="19.05" customHeight="1">
      <c r="A1028" s="199"/>
      <c r="B1028" s="1469" t="str">
        <f>AI1024</f>
        <v>Support my need-resolving campaign with a weekly financial support level appropriate to your level of impact. Help empower the politically powerless to resolve needs in ways eluding the powerful.</v>
      </c>
      <c r="C1028" s="1322"/>
      <c r="D1028" s="1322"/>
      <c r="E1028" s="1322"/>
      <c r="F1028" s="1322"/>
      <c r="G1028" s="1322"/>
      <c r="H1028" s="1322"/>
      <c r="I1028" s="1322"/>
      <c r="J1028" s="1322"/>
      <c r="K1028" s="1322"/>
      <c r="L1028" s="1322"/>
      <c r="M1028" s="1470"/>
      <c r="N1028" s="200"/>
      <c r="O1028" s="199"/>
      <c r="P1028" s="24"/>
      <c r="Q1028" s="24"/>
      <c r="R1028" s="398"/>
      <c r="S1028" s="398"/>
      <c r="T1028" s="398"/>
      <c r="U1028" s="398"/>
      <c r="V1028" s="398"/>
      <c r="W1028" s="398"/>
      <c r="X1028" s="398"/>
      <c r="Y1028" s="398"/>
      <c r="Z1028" s="398"/>
      <c r="AA1028" s="398"/>
      <c r="AB1028" s="200"/>
      <c r="AW1028" s="733" t="s">
        <v>2925</v>
      </c>
      <c r="AX1028" s="37" t="s">
        <v>2930</v>
      </c>
    </row>
    <row r="1029" spans="1:50" ht="19.05" customHeight="1">
      <c r="A1029" s="199"/>
      <c r="B1029" s="1469"/>
      <c r="C1029" s="1322"/>
      <c r="D1029" s="1322"/>
      <c r="E1029" s="1322"/>
      <c r="F1029" s="1322"/>
      <c r="G1029" s="1322"/>
      <c r="H1029" s="1322"/>
      <c r="I1029" s="1322"/>
      <c r="J1029" s="1322"/>
      <c r="K1029" s="1322"/>
      <c r="L1029" s="1322"/>
      <c r="M1029" s="1470"/>
      <c r="N1029" s="200"/>
      <c r="O1029" s="199"/>
      <c r="P1029" s="24"/>
      <c r="Q1029" s="24"/>
      <c r="R1029" s="398"/>
      <c r="S1029" s="398"/>
      <c r="T1029" s="398"/>
      <c r="U1029" s="398"/>
      <c r="V1029" s="398"/>
      <c r="W1029" s="398"/>
      <c r="X1029" s="398"/>
      <c r="Y1029" s="398"/>
      <c r="Z1029" s="398"/>
      <c r="AA1029" s="398"/>
      <c r="AB1029" s="200"/>
      <c r="AV1029" s="735" t="s">
        <v>2926</v>
      </c>
      <c r="AW1029" s="2" t="s">
        <v>2919</v>
      </c>
    </row>
    <row r="1030" spans="1:50" ht="19.05" customHeight="1">
      <c r="A1030" s="199"/>
      <c r="B1030" s="1469" t="s">
        <v>3137</v>
      </c>
      <c r="C1030" s="1322"/>
      <c r="D1030" s="1322"/>
      <c r="E1030" s="1322"/>
      <c r="F1030" s="1322"/>
      <c r="G1030" s="1322"/>
      <c r="H1030" s="1322"/>
      <c r="I1030" s="1322"/>
      <c r="J1030" s="1322"/>
      <c r="K1030" s="1322"/>
      <c r="L1030" s="1322"/>
      <c r="M1030" s="1470"/>
      <c r="N1030" s="200"/>
      <c r="O1030" s="199"/>
      <c r="P1030" s="24"/>
      <c r="Q1030" s="24"/>
      <c r="R1030" s="398"/>
      <c r="S1030" s="398"/>
      <c r="T1030" s="398"/>
      <c r="U1030" s="398"/>
      <c r="V1030" s="398"/>
      <c r="W1030" s="398"/>
      <c r="X1030" s="398"/>
      <c r="Y1030" s="398"/>
      <c r="Z1030" s="398"/>
      <c r="AA1030" s="398"/>
      <c r="AB1030" s="200"/>
      <c r="AV1030" s="735" t="s">
        <v>2927</v>
      </c>
      <c r="AW1030" s="2" t="s">
        <v>2920</v>
      </c>
    </row>
    <row r="1031" spans="1:50" ht="19.05" customHeight="1">
      <c r="A1031" s="199"/>
      <c r="B1031" s="1469"/>
      <c r="C1031" s="1322"/>
      <c r="D1031" s="1322"/>
      <c r="E1031" s="1322"/>
      <c r="F1031" s="1322"/>
      <c r="G1031" s="1322"/>
      <c r="H1031" s="1322"/>
      <c r="I1031" s="1322"/>
      <c r="J1031" s="1322"/>
      <c r="K1031" s="1322"/>
      <c r="L1031" s="1322"/>
      <c r="M1031" s="1470"/>
      <c r="N1031" s="200"/>
      <c r="O1031" s="199"/>
      <c r="P1031" s="24"/>
      <c r="Q1031" s="24"/>
      <c r="R1031" s="398"/>
      <c r="S1031" s="398"/>
      <c r="T1031" s="398"/>
      <c r="U1031" s="398"/>
      <c r="V1031" s="398"/>
      <c r="W1031" s="398"/>
      <c r="X1031" s="398"/>
      <c r="Y1031" s="398"/>
      <c r="Z1031" s="398"/>
      <c r="AA1031" s="398"/>
      <c r="AB1031" s="200"/>
      <c r="AV1031" s="735" t="s">
        <v>2926</v>
      </c>
      <c r="AW1031" s="2" t="s">
        <v>2921</v>
      </c>
    </row>
    <row r="1032" spans="1:50" ht="19.05" customHeight="1">
      <c r="A1032" s="199"/>
      <c r="B1032" s="1469"/>
      <c r="C1032" s="1322"/>
      <c r="D1032" s="1322"/>
      <c r="E1032" s="1322"/>
      <c r="F1032" s="1322"/>
      <c r="G1032" s="1322"/>
      <c r="H1032" s="1322"/>
      <c r="I1032" s="1322"/>
      <c r="J1032" s="1322"/>
      <c r="K1032" s="1322"/>
      <c r="L1032" s="1322"/>
      <c r="M1032" s="1470"/>
      <c r="N1032" s="200"/>
      <c r="O1032" s="199"/>
      <c r="P1032" s="24"/>
      <c r="Q1032" s="24"/>
      <c r="R1032" s="398"/>
      <c r="S1032" s="398"/>
      <c r="T1032" s="398"/>
      <c r="U1032" s="398"/>
      <c r="V1032" s="398"/>
      <c r="W1032" s="398"/>
      <c r="X1032" s="398"/>
      <c r="Y1032" s="398"/>
      <c r="Z1032" s="398"/>
      <c r="AA1032" s="398"/>
      <c r="AB1032" s="200"/>
    </row>
    <row r="1033" spans="1:50" ht="19.05" customHeight="1">
      <c r="A1033" s="199"/>
      <c r="B1033" s="1469"/>
      <c r="C1033" s="1322"/>
      <c r="D1033" s="1322"/>
      <c r="E1033" s="1322"/>
      <c r="F1033" s="1322"/>
      <c r="G1033" s="1322"/>
      <c r="H1033" s="1322"/>
      <c r="I1033" s="1322"/>
      <c r="J1033" s="1322"/>
      <c r="K1033" s="1322"/>
      <c r="L1033" s="1322"/>
      <c r="M1033" s="1470"/>
      <c r="N1033" s="200"/>
      <c r="O1033" s="199"/>
      <c r="P1033" s="24"/>
      <c r="Q1033" s="24"/>
      <c r="R1033" s="398"/>
      <c r="S1033" s="398"/>
      <c r="T1033" s="398"/>
      <c r="U1033" s="398"/>
      <c r="V1033" s="398"/>
      <c r="W1033" s="398"/>
      <c r="X1033" s="398"/>
      <c r="Y1033" s="398"/>
      <c r="Z1033" s="398"/>
      <c r="AA1033" s="398"/>
      <c r="AB1033" s="200"/>
      <c r="AW1033" s="733" t="s">
        <v>2846</v>
      </c>
      <c r="AX1033" s="37" t="s">
        <v>2931</v>
      </c>
    </row>
    <row r="1034" spans="1:50" ht="19.95" customHeight="1">
      <c r="A1034" s="199"/>
      <c r="B1034" s="830"/>
      <c r="C1034" s="505"/>
      <c r="D1034" s="505"/>
      <c r="E1034" s="505"/>
      <c r="F1034" s="505"/>
      <c r="G1034" s="505"/>
      <c r="H1034" s="505"/>
      <c r="I1034" s="24"/>
      <c r="J1034" s="24"/>
      <c r="K1034" s="24"/>
      <c r="L1034" s="24"/>
      <c r="M1034" s="831"/>
      <c r="N1034" s="200"/>
      <c r="O1034" s="199"/>
      <c r="P1034" s="24"/>
      <c r="Q1034" s="24"/>
      <c r="R1034" s="398"/>
      <c r="S1034" s="398"/>
      <c r="T1034" s="398"/>
      <c r="U1034" s="398"/>
      <c r="V1034" s="398"/>
      <c r="W1034" s="398"/>
      <c r="X1034" s="398"/>
      <c r="Y1034" s="398"/>
      <c r="Z1034" s="398"/>
      <c r="AA1034" s="398"/>
      <c r="AB1034" s="200"/>
      <c r="AV1034" s="735" t="s">
        <v>2926</v>
      </c>
      <c r="AW1034" s="2" t="s">
        <v>2919</v>
      </c>
    </row>
    <row r="1035" spans="1:50" ht="19.95" customHeight="1">
      <c r="A1035" s="199"/>
      <c r="B1035" s="830"/>
      <c r="C1035" s="505"/>
      <c r="D1035" s="505"/>
      <c r="E1035" s="505"/>
      <c r="F1035" s="505"/>
      <c r="G1035" s="505"/>
      <c r="H1035" s="505"/>
      <c r="I1035" s="24"/>
      <c r="J1035" s="24"/>
      <c r="K1035" s="24"/>
      <c r="L1035" s="24"/>
      <c r="M1035" s="831"/>
      <c r="N1035" s="200"/>
      <c r="O1035" s="199"/>
      <c r="P1035" s="24"/>
      <c r="Q1035" s="24"/>
      <c r="R1035" s="398"/>
      <c r="S1035" s="398"/>
      <c r="T1035" s="398"/>
      <c r="U1035" s="398"/>
      <c r="V1035" s="398"/>
      <c r="W1035" s="398"/>
      <c r="X1035" s="398"/>
      <c r="Y1035" s="398"/>
      <c r="Z1035" s="398"/>
      <c r="AA1035" s="398"/>
      <c r="AB1035" s="200"/>
      <c r="AV1035" s="735" t="s">
        <v>2927</v>
      </c>
      <c r="AW1035" s="2" t="s">
        <v>2920</v>
      </c>
    </row>
    <row r="1036" spans="1:50" ht="19.95" customHeight="1">
      <c r="A1036" s="199"/>
      <c r="B1036" s="830"/>
      <c r="C1036" s="505"/>
      <c r="D1036" s="505"/>
      <c r="E1036" s="505"/>
      <c r="F1036" s="505"/>
      <c r="G1036" s="505"/>
      <c r="H1036" s="505"/>
      <c r="I1036" s="24"/>
      <c r="J1036" s="24"/>
      <c r="K1036" s="24"/>
      <c r="L1036" s="24"/>
      <c r="M1036" s="831"/>
      <c r="N1036" s="200"/>
      <c r="O1036" s="199"/>
      <c r="P1036" s="24"/>
      <c r="Q1036" s="24"/>
      <c r="R1036" s="398"/>
      <c r="S1036" s="398"/>
      <c r="T1036" s="398"/>
      <c r="U1036" s="398"/>
      <c r="V1036" s="398"/>
      <c r="W1036" s="398"/>
      <c r="X1036" s="398"/>
      <c r="Y1036" s="398"/>
      <c r="Z1036" s="398"/>
      <c r="AA1036" s="398"/>
      <c r="AB1036" s="200"/>
      <c r="AV1036" s="735" t="s">
        <v>2926</v>
      </c>
      <c r="AW1036" s="2" t="s">
        <v>2921</v>
      </c>
    </row>
    <row r="1037" spans="1:50" ht="19.95" customHeight="1">
      <c r="A1037" s="199"/>
      <c r="B1037" s="830"/>
      <c r="C1037" s="505"/>
      <c r="D1037" s="505"/>
      <c r="E1037" s="505"/>
      <c r="F1037" s="505"/>
      <c r="G1037" s="505"/>
      <c r="H1037" s="505"/>
      <c r="I1037" s="24"/>
      <c r="J1037" s="24"/>
      <c r="K1037" s="24"/>
      <c r="L1037" s="24"/>
      <c r="M1037" s="831"/>
      <c r="N1037" s="200"/>
      <c r="O1037" s="199"/>
      <c r="P1037" s="24"/>
      <c r="Q1037" s="24"/>
      <c r="R1037" s="398"/>
      <c r="S1037" s="398"/>
      <c r="T1037" s="398"/>
      <c r="U1037" s="398"/>
      <c r="V1037" s="398"/>
      <c r="W1037" s="398"/>
      <c r="X1037" s="398"/>
      <c r="Y1037" s="398"/>
      <c r="Z1037" s="398"/>
      <c r="AA1037" s="398"/>
      <c r="AB1037" s="200"/>
    </row>
    <row r="1038" spans="1:50" ht="19.95" customHeight="1">
      <c r="A1038" s="199"/>
      <c r="B1038" s="830"/>
      <c r="C1038" s="505"/>
      <c r="D1038" s="505"/>
      <c r="E1038" s="505"/>
      <c r="F1038" s="505"/>
      <c r="G1038" s="505"/>
      <c r="H1038" s="505"/>
      <c r="I1038" s="24"/>
      <c r="J1038" s="24"/>
      <c r="K1038" s="24"/>
      <c r="L1038" s="24"/>
      <c r="M1038" s="831"/>
      <c r="N1038" s="200"/>
      <c r="O1038" s="199"/>
      <c r="P1038" s="24"/>
      <c r="Q1038" s="24"/>
      <c r="R1038" s="398"/>
      <c r="S1038" s="398"/>
      <c r="T1038" s="398"/>
      <c r="U1038" s="398"/>
      <c r="V1038" s="398"/>
      <c r="W1038" s="398"/>
      <c r="X1038" s="398"/>
      <c r="Y1038" s="398"/>
      <c r="Z1038" s="398"/>
      <c r="AA1038" s="398"/>
      <c r="AB1038" s="200"/>
    </row>
    <row r="1039" spans="1:50" ht="19.95" customHeight="1">
      <c r="A1039" s="199"/>
      <c r="B1039" s="830"/>
      <c r="C1039" s="505"/>
      <c r="D1039" s="505"/>
      <c r="E1039" s="505"/>
      <c r="F1039" s="505"/>
      <c r="G1039" s="505"/>
      <c r="H1039" s="505"/>
      <c r="I1039" s="24"/>
      <c r="J1039" s="24"/>
      <c r="K1039" s="24"/>
      <c r="L1039" s="24"/>
      <c r="M1039" s="831"/>
      <c r="N1039" s="200"/>
      <c r="O1039" s="199"/>
      <c r="P1039" s="24"/>
      <c r="Q1039" s="24"/>
      <c r="R1039" s="398"/>
      <c r="S1039" s="398"/>
      <c r="T1039" s="398"/>
      <c r="U1039" s="398"/>
      <c r="V1039" s="398"/>
      <c r="W1039" s="398"/>
      <c r="X1039" s="398"/>
      <c r="Y1039" s="398"/>
      <c r="Z1039" s="398"/>
      <c r="AA1039" s="398"/>
      <c r="AB1039" s="200"/>
    </row>
    <row r="1040" spans="1:50" ht="19.95" customHeight="1">
      <c r="A1040" s="199"/>
      <c r="B1040" s="830"/>
      <c r="C1040" s="505"/>
      <c r="D1040" s="505"/>
      <c r="E1040" s="505"/>
      <c r="F1040" s="505"/>
      <c r="G1040" s="505"/>
      <c r="H1040" s="505"/>
      <c r="I1040" s="24"/>
      <c r="J1040" s="24"/>
      <c r="K1040" s="24"/>
      <c r="L1040" s="24"/>
      <c r="M1040" s="831"/>
      <c r="N1040" s="200"/>
      <c r="O1040" s="199"/>
      <c r="P1040" s="24"/>
      <c r="Q1040" s="24"/>
      <c r="R1040" s="398"/>
      <c r="S1040" s="398"/>
      <c r="T1040" s="398"/>
      <c r="U1040" s="398"/>
      <c r="V1040" s="398"/>
      <c r="W1040" s="398"/>
      <c r="X1040" s="398"/>
      <c r="Y1040" s="398"/>
      <c r="Z1040" s="398"/>
      <c r="AA1040" s="398"/>
      <c r="AB1040" s="200"/>
    </row>
    <row r="1041" spans="1:28" ht="19.95" customHeight="1">
      <c r="A1041" s="199"/>
      <c r="B1041" s="830"/>
      <c r="C1041" s="505"/>
      <c r="D1041" s="505"/>
      <c r="E1041" s="505"/>
      <c r="F1041" s="505"/>
      <c r="G1041" s="505"/>
      <c r="H1041" s="505"/>
      <c r="I1041" s="505"/>
      <c r="J1041" s="505"/>
      <c r="K1041" s="505"/>
      <c r="L1041" s="505"/>
      <c r="M1041" s="829"/>
      <c r="N1041" s="200"/>
      <c r="O1041" s="199"/>
      <c r="P1041" s="24"/>
      <c r="Q1041" s="24"/>
      <c r="R1041" s="398"/>
      <c r="S1041" s="398"/>
      <c r="T1041" s="398"/>
      <c r="U1041" s="398"/>
      <c r="V1041" s="398"/>
      <c r="W1041" s="398"/>
      <c r="X1041" s="398"/>
      <c r="Y1041" s="398"/>
      <c r="Z1041" s="398"/>
      <c r="AA1041" s="398"/>
      <c r="AB1041" s="200"/>
    </row>
    <row r="1042" spans="1:28" ht="19.95" customHeight="1">
      <c r="A1042" s="199"/>
      <c r="B1042" s="832"/>
      <c r="C1042" s="833"/>
      <c r="D1042" s="833"/>
      <c r="E1042" s="833"/>
      <c r="F1042" s="833"/>
      <c r="G1042" s="833"/>
      <c r="H1042" s="833"/>
      <c r="I1042" s="833"/>
      <c r="J1042" s="833"/>
      <c r="K1042" s="833"/>
      <c r="L1042" s="833"/>
      <c r="M1042" s="834"/>
      <c r="N1042" s="200"/>
      <c r="O1042" s="199"/>
      <c r="P1042" s="24"/>
      <c r="Q1042" s="24"/>
      <c r="R1042" s="398"/>
      <c r="S1042" s="398"/>
      <c r="T1042" s="398"/>
      <c r="U1042" s="398"/>
      <c r="V1042" s="398"/>
      <c r="W1042" s="398"/>
      <c r="X1042" s="398"/>
      <c r="Y1042" s="398"/>
      <c r="Z1042" s="398"/>
      <c r="AA1042" s="398"/>
      <c r="AB1042" s="200"/>
    </row>
    <row r="1043" spans="1:28" ht="19.95" customHeight="1" thickBot="1">
      <c r="A1043" s="199"/>
      <c r="B1043" s="505"/>
      <c r="C1043" s="505"/>
      <c r="D1043" s="505"/>
      <c r="E1043" s="505"/>
      <c r="F1043" s="505"/>
      <c r="G1043" s="505"/>
      <c r="H1043" s="505"/>
      <c r="I1043" s="505"/>
      <c r="J1043" s="505"/>
      <c r="K1043" s="505"/>
      <c r="L1043" s="505"/>
      <c r="M1043" s="505"/>
      <c r="N1043" s="200"/>
      <c r="O1043" s="199"/>
      <c r="P1043" s="24"/>
      <c r="Q1043" s="24"/>
      <c r="R1043" s="398"/>
      <c r="S1043" s="398"/>
      <c r="T1043" s="398"/>
      <c r="U1043" s="398"/>
      <c r="V1043" s="398"/>
      <c r="W1043" s="398"/>
      <c r="X1043" s="398"/>
      <c r="Y1043" s="398"/>
      <c r="Z1043" s="398"/>
      <c r="AA1043" s="398"/>
      <c r="AB1043" s="200"/>
    </row>
    <row r="1044" spans="1:28" ht="30" customHeight="1" thickTop="1">
      <c r="A1044" s="877" t="s">
        <v>1148</v>
      </c>
      <c r="B1044" s="887" t="s">
        <v>2031</v>
      </c>
      <c r="C1044" s="887"/>
      <c r="D1044" s="887"/>
      <c r="E1044" s="887"/>
      <c r="F1044" s="887"/>
      <c r="G1044" s="887"/>
      <c r="H1044" s="373"/>
      <c r="I1044" s="373"/>
      <c r="J1044" s="373"/>
      <c r="K1044" s="373"/>
      <c r="L1044" s="373"/>
      <c r="M1044" s="373"/>
      <c r="N1044" s="878" t="s">
        <v>1149</v>
      </c>
      <c r="O1044" s="876"/>
      <c r="P1044" s="1292"/>
      <c r="Q1044" s="1292"/>
      <c r="R1044" s="1292"/>
      <c r="S1044" s="1292"/>
      <c r="T1044" s="1292"/>
      <c r="U1044" s="1292"/>
      <c r="V1044" s="1292"/>
      <c r="W1044" s="206"/>
      <c r="X1044" s="206"/>
      <c r="Y1044" s="206"/>
      <c r="Z1044" s="206"/>
      <c r="AA1044" s="206"/>
      <c r="AB1044" s="211" t="s">
        <v>1149</v>
      </c>
    </row>
    <row r="1045" spans="1:28">
      <c r="A1045" s="871"/>
      <c r="B1045" s="24"/>
      <c r="C1045" s="24"/>
      <c r="D1045" s="24"/>
      <c r="E1045" s="24"/>
      <c r="F1045" s="24"/>
      <c r="G1045" s="24"/>
      <c r="H1045" s="24"/>
      <c r="I1045" s="24"/>
      <c r="J1045" s="24"/>
      <c r="K1045" s="24"/>
      <c r="L1045" s="24"/>
      <c r="M1045" s="24"/>
      <c r="N1045" s="872"/>
      <c r="O1045" s="24"/>
      <c r="P1045" s="24"/>
      <c r="Q1045" s="24"/>
      <c r="R1045" s="24"/>
      <c r="S1045" s="24"/>
      <c r="T1045" s="24"/>
      <c r="U1045" s="24"/>
      <c r="V1045" s="24"/>
      <c r="W1045" s="24"/>
      <c r="X1045" s="24"/>
      <c r="Y1045" s="24"/>
      <c r="Z1045" s="24"/>
      <c r="AA1045" s="24"/>
      <c r="AB1045" s="200"/>
    </row>
    <row r="1046" spans="1:28" ht="19.95" customHeight="1">
      <c r="A1046" s="871"/>
      <c r="B1046" s="844" t="s">
        <v>3147</v>
      </c>
      <c r="C1046" s="24"/>
      <c r="D1046" s="24"/>
      <c r="E1046" s="24"/>
      <c r="F1046" s="24"/>
      <c r="G1046" s="24"/>
      <c r="H1046" s="24"/>
      <c r="I1046" s="24"/>
      <c r="J1046" s="24"/>
      <c r="K1046" s="24"/>
      <c r="L1046" s="24"/>
      <c r="M1046" s="24"/>
      <c r="N1046" s="872"/>
      <c r="O1046" s="24"/>
      <c r="P1046" s="24"/>
      <c r="Q1046" s="24"/>
      <c r="R1046" s="24"/>
      <c r="S1046" s="24"/>
      <c r="T1046" s="24"/>
      <c r="U1046" s="24"/>
      <c r="V1046" s="24"/>
      <c r="W1046" s="24"/>
      <c r="X1046" s="24"/>
      <c r="Y1046" s="24"/>
      <c r="Z1046" s="24"/>
      <c r="AA1046" s="24"/>
      <c r="AB1046" s="200"/>
    </row>
    <row r="1047" spans="1:28" ht="10.050000000000001" customHeight="1" thickBot="1">
      <c r="A1047" s="871"/>
      <c r="B1047" s="24"/>
      <c r="C1047" s="24"/>
      <c r="D1047" s="24"/>
      <c r="E1047" s="24"/>
      <c r="F1047" s="24"/>
      <c r="G1047" s="24"/>
      <c r="H1047" s="24"/>
      <c r="I1047" s="24"/>
      <c r="J1047" s="24"/>
      <c r="K1047" s="24"/>
      <c r="L1047" s="24"/>
      <c r="M1047" s="24"/>
      <c r="N1047" s="872"/>
      <c r="O1047" s="24"/>
      <c r="P1047" s="24"/>
      <c r="Q1047" s="24"/>
      <c r="R1047" s="24"/>
      <c r="S1047" s="24"/>
      <c r="T1047" s="24"/>
      <c r="U1047" s="24"/>
      <c r="V1047" s="24"/>
      <c r="W1047" s="24"/>
      <c r="X1047" s="24"/>
      <c r="Y1047" s="24"/>
      <c r="Z1047" s="24"/>
      <c r="AA1047" s="24"/>
      <c r="AB1047" s="200"/>
    </row>
    <row r="1048" spans="1:28" ht="19.95" customHeight="1">
      <c r="A1048" s="871"/>
      <c r="B1048" s="506"/>
      <c r="C1048" s="841"/>
      <c r="D1048" s="842"/>
      <c r="E1048" s="835"/>
      <c r="F1048" s="835"/>
      <c r="G1048" s="835"/>
      <c r="H1048" s="841"/>
      <c r="I1048" s="841"/>
      <c r="J1048" s="842"/>
      <c r="K1048" s="835"/>
      <c r="L1048" s="835"/>
      <c r="M1048" s="836"/>
      <c r="N1048" s="872"/>
      <c r="O1048" s="24"/>
      <c r="P1048" s="24"/>
      <c r="Q1048" s="24"/>
      <c r="R1048" s="24"/>
      <c r="S1048" s="24"/>
      <c r="T1048" s="24"/>
      <c r="U1048" s="24"/>
      <c r="V1048" s="24"/>
      <c r="W1048" s="24"/>
      <c r="X1048" s="24"/>
      <c r="Y1048" s="24"/>
      <c r="Z1048" s="24"/>
      <c r="AA1048" s="24"/>
      <c r="AB1048" s="200"/>
    </row>
    <row r="1049" spans="1:28" ht="19.95" customHeight="1">
      <c r="A1049" s="871"/>
      <c r="B1049" s="508"/>
      <c r="C1049" s="24"/>
      <c r="D1049" s="837"/>
      <c r="E1049" s="837"/>
      <c r="F1049" s="837"/>
      <c r="G1049" s="837"/>
      <c r="H1049" s="24"/>
      <c r="I1049" s="24"/>
      <c r="J1049" s="837"/>
      <c r="K1049" s="837"/>
      <c r="L1049" s="837"/>
      <c r="M1049" s="838"/>
      <c r="N1049" s="872"/>
      <c r="O1049" s="24"/>
      <c r="P1049" s="24"/>
      <c r="Q1049" s="24"/>
      <c r="R1049" s="24"/>
      <c r="S1049" s="24"/>
      <c r="T1049" s="24"/>
      <c r="U1049" s="24"/>
      <c r="V1049" s="24"/>
      <c r="W1049" s="24"/>
      <c r="X1049" s="24"/>
      <c r="Y1049" s="24"/>
      <c r="Z1049" s="24"/>
      <c r="AA1049" s="24"/>
      <c r="AB1049" s="200"/>
    </row>
    <row r="1050" spans="1:28" ht="19.95" customHeight="1">
      <c r="A1050" s="871"/>
      <c r="B1050" s="508"/>
      <c r="C1050" s="24"/>
      <c r="D1050" s="837"/>
      <c r="E1050" s="837"/>
      <c r="F1050" s="837"/>
      <c r="G1050" s="837"/>
      <c r="H1050" s="24"/>
      <c r="I1050" s="24"/>
      <c r="J1050" s="837"/>
      <c r="K1050" s="837"/>
      <c r="L1050" s="837"/>
      <c r="M1050" s="838"/>
      <c r="N1050" s="872"/>
      <c r="O1050" s="24"/>
      <c r="P1050" s="24"/>
      <c r="Q1050" s="24"/>
      <c r="R1050" s="24"/>
      <c r="S1050" s="24"/>
      <c r="T1050" s="24"/>
      <c r="U1050" s="24"/>
      <c r="V1050" s="24"/>
      <c r="W1050" s="24"/>
      <c r="X1050" s="24"/>
      <c r="Y1050" s="24"/>
      <c r="Z1050" s="24"/>
      <c r="AA1050" s="24"/>
      <c r="AB1050" s="200"/>
    </row>
    <row r="1051" spans="1:28" ht="19.95" customHeight="1">
      <c r="A1051" s="871"/>
      <c r="B1051" s="508"/>
      <c r="C1051" s="24"/>
      <c r="D1051" s="837"/>
      <c r="E1051" s="837"/>
      <c r="F1051" s="837"/>
      <c r="G1051" s="837"/>
      <c r="H1051" s="24"/>
      <c r="I1051" s="24"/>
      <c r="J1051" s="837"/>
      <c r="K1051" s="837"/>
      <c r="L1051" s="837"/>
      <c r="M1051" s="838"/>
      <c r="N1051" s="872"/>
      <c r="O1051" s="24"/>
      <c r="P1051" s="24"/>
      <c r="Q1051" s="24"/>
      <c r="R1051" s="24"/>
      <c r="S1051" s="24"/>
      <c r="T1051" s="24"/>
      <c r="U1051" s="24"/>
      <c r="V1051" s="24"/>
      <c r="W1051" s="24"/>
      <c r="X1051" s="24"/>
      <c r="Y1051" s="24"/>
      <c r="Z1051" s="24"/>
      <c r="AA1051" s="24"/>
      <c r="AB1051" s="200"/>
    </row>
    <row r="1052" spans="1:28" ht="10.050000000000001" customHeight="1">
      <c r="A1052" s="871"/>
      <c r="B1052" s="508"/>
      <c r="C1052" s="24"/>
      <c r="D1052" s="837"/>
      <c r="E1052" s="837"/>
      <c r="F1052" s="837"/>
      <c r="G1052" s="837"/>
      <c r="H1052" s="24"/>
      <c r="I1052" s="24"/>
      <c r="J1052" s="837"/>
      <c r="K1052" s="837"/>
      <c r="L1052" s="837"/>
      <c r="M1052" s="838"/>
      <c r="N1052" s="872"/>
      <c r="O1052" s="24"/>
      <c r="P1052" s="24"/>
      <c r="Q1052" s="24"/>
      <c r="R1052" s="24"/>
      <c r="S1052" s="24"/>
      <c r="T1052" s="24"/>
      <c r="U1052" s="24"/>
      <c r="V1052" s="24"/>
      <c r="W1052" s="24"/>
      <c r="X1052" s="24"/>
      <c r="Y1052" s="24"/>
      <c r="Z1052" s="24"/>
      <c r="AA1052" s="24"/>
      <c r="AB1052" s="200"/>
    </row>
    <row r="1053" spans="1:28" ht="19.95" customHeight="1">
      <c r="A1053" s="871"/>
      <c r="B1053" s="508"/>
      <c r="C1053" s="24"/>
      <c r="D1053" s="837"/>
      <c r="E1053" s="837"/>
      <c r="F1053" s="837"/>
      <c r="G1053" s="837"/>
      <c r="H1053" s="24"/>
      <c r="I1053" s="24"/>
      <c r="J1053" s="837"/>
      <c r="K1053" s="837"/>
      <c r="L1053" s="837"/>
      <c r="M1053" s="838"/>
      <c r="N1053" s="872"/>
      <c r="O1053" s="24"/>
      <c r="P1053" s="24"/>
      <c r="Q1053" s="24"/>
      <c r="R1053" s="24"/>
      <c r="S1053" s="24"/>
      <c r="T1053" s="24"/>
      <c r="U1053" s="24"/>
      <c r="V1053" s="24"/>
      <c r="W1053" s="24"/>
      <c r="X1053" s="24"/>
      <c r="Y1053" s="24"/>
      <c r="Z1053" s="24"/>
      <c r="AA1053" s="24"/>
      <c r="AB1053" s="200"/>
    </row>
    <row r="1054" spans="1:28" ht="19.95" customHeight="1">
      <c r="A1054" s="871"/>
      <c r="B1054" s="508"/>
      <c r="C1054" s="24"/>
      <c r="D1054" s="837"/>
      <c r="E1054" s="837"/>
      <c r="F1054" s="837"/>
      <c r="G1054" s="837"/>
      <c r="H1054" s="24"/>
      <c r="I1054" s="24"/>
      <c r="J1054" s="837"/>
      <c r="K1054" s="837"/>
      <c r="L1054" s="837"/>
      <c r="M1054" s="838"/>
      <c r="N1054" s="872"/>
      <c r="O1054" s="24"/>
      <c r="P1054" s="24"/>
      <c r="Q1054" s="24"/>
      <c r="R1054" s="24"/>
      <c r="S1054" s="24"/>
      <c r="T1054" s="24"/>
      <c r="U1054" s="24"/>
      <c r="V1054" s="24"/>
      <c r="W1054" s="24"/>
      <c r="X1054" s="24"/>
      <c r="Y1054" s="24"/>
      <c r="Z1054" s="24"/>
      <c r="AA1054" s="24"/>
      <c r="AB1054" s="200"/>
    </row>
    <row r="1055" spans="1:28" ht="19.95" customHeight="1">
      <c r="A1055" s="871"/>
      <c r="B1055" s="508"/>
      <c r="C1055" s="24"/>
      <c r="D1055" s="837"/>
      <c r="E1055" s="837"/>
      <c r="F1055" s="837"/>
      <c r="G1055" s="837"/>
      <c r="H1055" s="24"/>
      <c r="I1055" s="24"/>
      <c r="J1055" s="837"/>
      <c r="K1055" s="837"/>
      <c r="L1055" s="837"/>
      <c r="M1055" s="838"/>
      <c r="N1055" s="872"/>
      <c r="O1055" s="24"/>
      <c r="P1055" s="24"/>
      <c r="Q1055" s="24"/>
      <c r="R1055" s="24"/>
      <c r="S1055" s="24"/>
      <c r="T1055" s="24"/>
      <c r="U1055" s="24"/>
      <c r="V1055" s="24"/>
      <c r="W1055" s="24"/>
      <c r="X1055" s="24"/>
      <c r="Y1055" s="24"/>
      <c r="Z1055" s="24"/>
      <c r="AA1055" s="24"/>
      <c r="AB1055" s="200"/>
    </row>
    <row r="1056" spans="1:28" ht="19.95" customHeight="1">
      <c r="A1056" s="871"/>
      <c r="B1056" s="508"/>
      <c r="C1056" s="24"/>
      <c r="D1056" s="837"/>
      <c r="E1056" s="837"/>
      <c r="F1056" s="837"/>
      <c r="G1056" s="837"/>
      <c r="H1056" s="24"/>
      <c r="I1056" s="24"/>
      <c r="J1056" s="837"/>
      <c r="K1056" s="837"/>
      <c r="L1056" s="837"/>
      <c r="M1056" s="838"/>
      <c r="N1056" s="872"/>
      <c r="O1056" s="24"/>
      <c r="P1056" s="24"/>
      <c r="Q1056" s="24"/>
      <c r="R1056" s="24"/>
      <c r="S1056" s="24"/>
      <c r="T1056" s="24"/>
      <c r="U1056" s="24"/>
      <c r="V1056" s="24"/>
      <c r="W1056" s="24"/>
      <c r="X1056" s="24"/>
      <c r="Y1056" s="24"/>
      <c r="Z1056" s="24"/>
      <c r="AA1056" s="24"/>
      <c r="AB1056" s="200"/>
    </row>
    <row r="1057" spans="1:28" ht="10.050000000000001" customHeight="1">
      <c r="A1057" s="871"/>
      <c r="B1057" s="508"/>
      <c r="C1057" s="24"/>
      <c r="D1057" s="837"/>
      <c r="E1057" s="837"/>
      <c r="F1057" s="837"/>
      <c r="G1057" s="837"/>
      <c r="H1057" s="24"/>
      <c r="I1057" s="24"/>
      <c r="J1057" s="837"/>
      <c r="K1057" s="837"/>
      <c r="L1057" s="837"/>
      <c r="M1057" s="838"/>
      <c r="N1057" s="872"/>
      <c r="O1057" s="24"/>
      <c r="P1057" s="24"/>
      <c r="Q1057" s="24"/>
      <c r="R1057" s="24"/>
      <c r="S1057" s="24"/>
      <c r="T1057" s="24"/>
      <c r="U1057" s="24"/>
      <c r="V1057" s="24"/>
      <c r="W1057" s="24"/>
      <c r="X1057" s="24"/>
      <c r="Y1057" s="24"/>
      <c r="Z1057" s="24"/>
      <c r="AA1057" s="24"/>
      <c r="AB1057" s="200"/>
    </row>
    <row r="1058" spans="1:28" ht="19.95" customHeight="1">
      <c r="A1058" s="871"/>
      <c r="B1058" s="508"/>
      <c r="C1058" s="24"/>
      <c r="D1058" s="837"/>
      <c r="E1058" s="837"/>
      <c r="F1058" s="837"/>
      <c r="G1058" s="837"/>
      <c r="H1058" s="24"/>
      <c r="I1058" s="24"/>
      <c r="J1058" s="837"/>
      <c r="K1058" s="837"/>
      <c r="L1058" s="837"/>
      <c r="M1058" s="838"/>
      <c r="N1058" s="872"/>
      <c r="O1058" s="24"/>
      <c r="P1058" s="24"/>
      <c r="Q1058" s="24"/>
      <c r="R1058" s="24"/>
      <c r="S1058" s="24"/>
      <c r="T1058" s="24"/>
      <c r="U1058" s="24"/>
      <c r="V1058" s="24"/>
      <c r="W1058" s="24"/>
      <c r="X1058" s="24"/>
      <c r="Y1058" s="24"/>
      <c r="Z1058" s="24"/>
      <c r="AA1058" s="24"/>
      <c r="AB1058" s="200"/>
    </row>
    <row r="1059" spans="1:28" ht="19.95" customHeight="1">
      <c r="A1059" s="871"/>
      <c r="B1059" s="508"/>
      <c r="C1059" s="24"/>
      <c r="D1059" s="837"/>
      <c r="E1059" s="837"/>
      <c r="F1059" s="837"/>
      <c r="G1059" s="837"/>
      <c r="H1059" s="24"/>
      <c r="I1059" s="24"/>
      <c r="J1059" s="837"/>
      <c r="K1059" s="837"/>
      <c r="L1059" s="837"/>
      <c r="M1059" s="838"/>
      <c r="N1059" s="872"/>
      <c r="O1059" s="24"/>
      <c r="P1059" s="24"/>
      <c r="Q1059" s="24"/>
      <c r="R1059" s="24"/>
      <c r="S1059" s="24"/>
      <c r="T1059" s="24"/>
      <c r="U1059" s="24"/>
      <c r="V1059" s="24"/>
      <c r="W1059" s="24"/>
      <c r="X1059" s="24"/>
      <c r="Y1059" s="24"/>
      <c r="Z1059" s="24"/>
      <c r="AA1059" s="24"/>
      <c r="AB1059" s="200"/>
    </row>
    <row r="1060" spans="1:28" ht="19.95" customHeight="1">
      <c r="A1060" s="871"/>
      <c r="B1060" s="508"/>
      <c r="C1060" s="24"/>
      <c r="D1060" s="837"/>
      <c r="E1060" s="837"/>
      <c r="F1060" s="837"/>
      <c r="G1060" s="837"/>
      <c r="H1060" s="24"/>
      <c r="I1060" s="24"/>
      <c r="J1060" s="837"/>
      <c r="K1060" s="837"/>
      <c r="L1060" s="837"/>
      <c r="M1060" s="838"/>
      <c r="N1060" s="872"/>
      <c r="O1060" s="24"/>
      <c r="P1060" s="24"/>
      <c r="Q1060" s="24"/>
      <c r="R1060" s="24"/>
      <c r="S1060" s="24"/>
      <c r="T1060" s="24"/>
      <c r="U1060" s="24"/>
      <c r="V1060" s="24"/>
      <c r="W1060" s="24"/>
      <c r="X1060" s="24"/>
      <c r="Y1060" s="24"/>
      <c r="Z1060" s="24"/>
      <c r="AA1060" s="24"/>
      <c r="AB1060" s="200"/>
    </row>
    <row r="1061" spans="1:28" ht="19.95" customHeight="1">
      <c r="A1061" s="871"/>
      <c r="B1061" s="508"/>
      <c r="C1061" s="24"/>
      <c r="D1061" s="837"/>
      <c r="E1061" s="837"/>
      <c r="F1061" s="837"/>
      <c r="G1061" s="837"/>
      <c r="H1061" s="24"/>
      <c r="I1061" s="24"/>
      <c r="J1061" s="837"/>
      <c r="K1061" s="837"/>
      <c r="L1061" s="837"/>
      <c r="M1061" s="838"/>
      <c r="N1061" s="872"/>
      <c r="O1061" s="24"/>
      <c r="P1061" s="24"/>
      <c r="Q1061" s="24"/>
      <c r="R1061" s="24"/>
      <c r="S1061" s="24"/>
      <c r="T1061" s="24"/>
      <c r="U1061" s="24"/>
      <c r="V1061" s="24"/>
      <c r="W1061" s="24"/>
      <c r="X1061" s="24"/>
      <c r="Y1061" s="24"/>
      <c r="Z1061" s="24"/>
      <c r="AA1061" s="24"/>
      <c r="AB1061" s="200"/>
    </row>
    <row r="1062" spans="1:28" ht="10.050000000000001" customHeight="1">
      <c r="A1062" s="871"/>
      <c r="B1062" s="508"/>
      <c r="C1062" s="24"/>
      <c r="D1062" s="837"/>
      <c r="E1062" s="837"/>
      <c r="F1062" s="837"/>
      <c r="G1062" s="837"/>
      <c r="H1062" s="24"/>
      <c r="I1062" s="24"/>
      <c r="J1062" s="837"/>
      <c r="K1062" s="837"/>
      <c r="L1062" s="837"/>
      <c r="M1062" s="838"/>
      <c r="N1062" s="872"/>
      <c r="O1062" s="24"/>
      <c r="P1062" s="24"/>
      <c r="Q1062" s="24"/>
      <c r="R1062" s="24"/>
      <c r="S1062" s="24"/>
      <c r="T1062" s="24"/>
      <c r="U1062" s="24"/>
      <c r="V1062" s="24"/>
      <c r="W1062" s="24"/>
      <c r="X1062" s="24"/>
      <c r="Y1062" s="24"/>
      <c r="Z1062" s="24"/>
      <c r="AA1062" s="24"/>
      <c r="AB1062" s="200"/>
    </row>
    <row r="1063" spans="1:28" ht="19.95" customHeight="1">
      <c r="A1063" s="871"/>
      <c r="B1063" s="508"/>
      <c r="C1063" s="24"/>
      <c r="D1063" s="837"/>
      <c r="E1063" s="837"/>
      <c r="F1063" s="837"/>
      <c r="G1063" s="837"/>
      <c r="H1063" s="24"/>
      <c r="I1063" s="24"/>
      <c r="J1063" s="837"/>
      <c r="K1063" s="837"/>
      <c r="L1063" s="837"/>
      <c r="M1063" s="838"/>
      <c r="N1063" s="872"/>
      <c r="O1063" s="24"/>
      <c r="P1063" s="24"/>
      <c r="Q1063" s="24"/>
      <c r="R1063" s="24"/>
      <c r="S1063" s="24"/>
      <c r="T1063" s="24"/>
      <c r="U1063" s="24"/>
      <c r="V1063" s="24"/>
      <c r="W1063" s="24"/>
      <c r="X1063" s="24"/>
      <c r="Y1063" s="24"/>
      <c r="Z1063" s="24"/>
      <c r="AA1063" s="24"/>
      <c r="AB1063" s="200"/>
    </row>
    <row r="1064" spans="1:28" ht="19.95" customHeight="1">
      <c r="A1064" s="871"/>
      <c r="B1064" s="508"/>
      <c r="C1064" s="24"/>
      <c r="D1064" s="837"/>
      <c r="E1064" s="837"/>
      <c r="F1064" s="837"/>
      <c r="G1064" s="837"/>
      <c r="H1064" s="24"/>
      <c r="I1064" s="24"/>
      <c r="J1064" s="837"/>
      <c r="K1064" s="837"/>
      <c r="L1064" s="837"/>
      <c r="M1064" s="838"/>
      <c r="N1064" s="872"/>
      <c r="O1064" s="24"/>
      <c r="P1064" s="111"/>
      <c r="Q1064" s="24"/>
      <c r="R1064" s="24"/>
      <c r="S1064" s="24"/>
      <c r="T1064" s="24"/>
      <c r="U1064" s="24"/>
      <c r="V1064" s="24"/>
      <c r="W1064" s="24"/>
      <c r="X1064" s="24"/>
      <c r="Y1064" s="24"/>
      <c r="Z1064" s="24"/>
      <c r="AA1064" s="24"/>
      <c r="AB1064" s="200"/>
    </row>
    <row r="1065" spans="1:28" ht="19.95" customHeight="1">
      <c r="A1065" s="871"/>
      <c r="B1065" s="508"/>
      <c r="C1065" s="24"/>
      <c r="D1065" s="837"/>
      <c r="E1065" s="837"/>
      <c r="F1065" s="837"/>
      <c r="G1065" s="837"/>
      <c r="H1065" s="24"/>
      <c r="I1065" s="24"/>
      <c r="J1065" s="837"/>
      <c r="K1065" s="837"/>
      <c r="L1065" s="837"/>
      <c r="M1065" s="838"/>
      <c r="N1065" s="872"/>
      <c r="O1065" s="24"/>
      <c r="P1065" s="24"/>
      <c r="Q1065" s="111"/>
      <c r="R1065" s="24"/>
      <c r="S1065" s="24"/>
      <c r="T1065" s="24"/>
      <c r="U1065" s="24"/>
      <c r="V1065" s="24"/>
      <c r="W1065" s="24"/>
      <c r="X1065" s="24"/>
      <c r="Y1065" s="24"/>
      <c r="Z1065" s="24"/>
      <c r="AA1065" s="24"/>
      <c r="AB1065" s="200"/>
    </row>
    <row r="1066" spans="1:28" ht="19.95" customHeight="1">
      <c r="A1066" s="871"/>
      <c r="B1066" s="508"/>
      <c r="C1066" s="24"/>
      <c r="D1066" s="837"/>
      <c r="E1066" s="837"/>
      <c r="F1066" s="837"/>
      <c r="G1066" s="837"/>
      <c r="H1066" s="24"/>
      <c r="I1066" s="24"/>
      <c r="J1066" s="837"/>
      <c r="K1066" s="837"/>
      <c r="L1066" s="837"/>
      <c r="M1066" s="838"/>
      <c r="N1066" s="872"/>
      <c r="O1066" s="24"/>
      <c r="P1066" s="24"/>
      <c r="Q1066" s="24"/>
      <c r="R1066" s="24"/>
      <c r="S1066" s="24"/>
      <c r="T1066" s="24"/>
      <c r="U1066" s="24"/>
      <c r="V1066" s="24"/>
      <c r="W1066" s="24"/>
      <c r="X1066" s="24"/>
      <c r="Y1066" s="24"/>
      <c r="Z1066" s="24"/>
      <c r="AA1066" s="24"/>
      <c r="AB1066" s="200"/>
    </row>
    <row r="1067" spans="1:28" ht="19.95" customHeight="1" thickBot="1">
      <c r="A1067" s="871"/>
      <c r="B1067" s="509"/>
      <c r="C1067" s="843"/>
      <c r="D1067" s="839"/>
      <c r="E1067" s="839"/>
      <c r="F1067" s="839"/>
      <c r="G1067" s="839"/>
      <c r="H1067" s="843"/>
      <c r="I1067" s="843"/>
      <c r="J1067" s="839"/>
      <c r="K1067" s="839"/>
      <c r="L1067" s="839"/>
      <c r="M1067" s="840"/>
      <c r="N1067" s="872"/>
      <c r="O1067" s="24"/>
      <c r="P1067" s="24"/>
      <c r="Q1067" s="24"/>
      <c r="R1067" s="24"/>
      <c r="S1067" s="24"/>
      <c r="T1067" s="24"/>
      <c r="U1067" s="24"/>
      <c r="V1067" s="24"/>
      <c r="W1067" s="24"/>
      <c r="X1067" s="24"/>
      <c r="Y1067" s="24"/>
      <c r="Z1067" s="24"/>
      <c r="AA1067" s="24"/>
      <c r="AB1067" s="200"/>
    </row>
    <row r="1068" spans="1:28" ht="19.95" customHeight="1">
      <c r="A1068" s="871"/>
      <c r="B1068" s="24"/>
      <c r="C1068" s="24"/>
      <c r="D1068" s="24"/>
      <c r="E1068" s="24"/>
      <c r="F1068" s="24"/>
      <c r="G1068" s="24"/>
      <c r="H1068" s="24"/>
      <c r="I1068" s="24"/>
      <c r="J1068" s="24"/>
      <c r="K1068" s="24"/>
      <c r="L1068" s="24"/>
      <c r="M1068" s="24"/>
      <c r="N1068" s="872"/>
      <c r="O1068" s="24"/>
      <c r="P1068" s="24"/>
      <c r="Q1068" s="24"/>
      <c r="R1068" s="24"/>
      <c r="S1068" s="24"/>
      <c r="T1068" s="24"/>
      <c r="U1068" s="24"/>
      <c r="V1068" s="24"/>
      <c r="W1068" s="24"/>
      <c r="X1068" s="24"/>
      <c r="Y1068" s="24"/>
      <c r="Z1068" s="24"/>
      <c r="AA1068" s="24"/>
      <c r="AB1068" s="200"/>
    </row>
    <row r="1069" spans="1:28" ht="19.95" customHeight="1">
      <c r="A1069" s="871"/>
      <c r="B1069" s="24"/>
      <c r="C1069" s="24"/>
      <c r="D1069" s="24"/>
      <c r="E1069" s="24"/>
      <c r="F1069" s="24"/>
      <c r="G1069" s="24"/>
      <c r="H1069" s="24"/>
      <c r="I1069" s="24"/>
      <c r="J1069" s="24"/>
      <c r="K1069" s="24"/>
      <c r="L1069" s="24"/>
      <c r="M1069" s="24"/>
      <c r="N1069" s="872"/>
      <c r="O1069" s="24"/>
      <c r="P1069" s="24"/>
      <c r="Q1069" s="24"/>
      <c r="R1069" s="24"/>
      <c r="S1069" s="24"/>
      <c r="T1069" s="24"/>
      <c r="U1069" s="24"/>
      <c r="V1069" s="24"/>
      <c r="W1069" s="24"/>
      <c r="X1069" s="24"/>
      <c r="Y1069" s="24"/>
      <c r="Z1069" s="24"/>
      <c r="AA1069" s="24"/>
      <c r="AB1069" s="200"/>
    </row>
    <row r="1070" spans="1:28" ht="19.95" customHeight="1">
      <c r="A1070" s="871"/>
      <c r="B1070" s="24"/>
      <c r="C1070" s="24"/>
      <c r="D1070" s="24"/>
      <c r="E1070" s="24"/>
      <c r="F1070" s="24"/>
      <c r="G1070" s="24"/>
      <c r="H1070" s="24"/>
      <c r="I1070" s="24"/>
      <c r="J1070" s="24"/>
      <c r="K1070" s="24"/>
      <c r="L1070" s="24"/>
      <c r="M1070" s="24"/>
      <c r="N1070" s="872"/>
      <c r="O1070" s="24"/>
      <c r="P1070" s="24"/>
      <c r="Q1070" s="24"/>
      <c r="R1070" s="24"/>
      <c r="S1070" s="24"/>
      <c r="T1070" s="24"/>
      <c r="U1070" s="24"/>
      <c r="V1070" s="24"/>
      <c r="W1070" s="24"/>
      <c r="X1070" s="24"/>
      <c r="Y1070" s="24"/>
      <c r="Z1070" s="24"/>
      <c r="AA1070" s="24"/>
      <c r="AB1070" s="200"/>
    </row>
    <row r="1071" spans="1:28" ht="19.95" customHeight="1">
      <c r="A1071" s="871"/>
      <c r="B1071" s="496"/>
      <c r="C1071" s="24"/>
      <c r="D1071" s="24"/>
      <c r="E1071" s="24"/>
      <c r="F1071" s="24"/>
      <c r="G1071" s="24"/>
      <c r="H1071" s="24"/>
      <c r="I1071" s="24"/>
      <c r="J1071" s="24"/>
      <c r="K1071" s="24"/>
      <c r="L1071" s="24"/>
      <c r="M1071" s="24"/>
      <c r="N1071" s="872"/>
      <c r="O1071" s="24"/>
      <c r="P1071" s="24"/>
      <c r="Q1071" s="24"/>
      <c r="R1071" s="24"/>
      <c r="S1071" s="24"/>
      <c r="T1071" s="24"/>
      <c r="U1071" s="24"/>
      <c r="V1071" s="24"/>
      <c r="W1071" s="24"/>
      <c r="X1071" s="24"/>
      <c r="Y1071" s="24"/>
      <c r="Z1071" s="24"/>
      <c r="AA1071" s="24"/>
      <c r="AB1071" s="200"/>
    </row>
    <row r="1072" spans="1:28" ht="40.049999999999997" customHeight="1">
      <c r="A1072" s="871"/>
      <c r="B1072" s="1310"/>
      <c r="C1072" s="1311"/>
      <c r="D1072" s="1311"/>
      <c r="E1072" s="1311"/>
      <c r="F1072" s="1311"/>
      <c r="G1072" s="1311"/>
      <c r="H1072" s="1311"/>
      <c r="I1072" s="1311"/>
      <c r="J1072" s="1311"/>
      <c r="K1072" s="1311"/>
      <c r="L1072" s="1311"/>
      <c r="M1072" s="512"/>
      <c r="N1072" s="872"/>
      <c r="O1072" s="24"/>
      <c r="P1072" s="24"/>
      <c r="Q1072" s="24"/>
      <c r="R1072" s="24"/>
      <c r="S1072" s="24"/>
      <c r="T1072" s="24"/>
      <c r="U1072" s="24"/>
      <c r="V1072" s="24"/>
      <c r="W1072" s="24"/>
      <c r="X1072" s="24"/>
      <c r="Y1072" s="24"/>
      <c r="Z1072" s="24"/>
      <c r="AA1072" s="24"/>
      <c r="AB1072" s="200"/>
    </row>
    <row r="1073" spans="1:28" ht="19.95" customHeight="1">
      <c r="A1073" s="871"/>
      <c r="B1073" s="1310"/>
      <c r="C1073" s="1310"/>
      <c r="D1073" s="1310"/>
      <c r="E1073" s="1310"/>
      <c r="F1073" s="1310"/>
      <c r="G1073" s="1310"/>
      <c r="H1073" s="1310"/>
      <c r="I1073" s="1310"/>
      <c r="J1073" s="1310"/>
      <c r="K1073" s="1310"/>
      <c r="L1073" s="1310"/>
      <c r="M1073" s="512"/>
      <c r="N1073" s="872"/>
      <c r="O1073" s="24"/>
      <c r="P1073" s="24"/>
      <c r="Q1073" s="24"/>
      <c r="R1073" s="24"/>
      <c r="S1073" s="24"/>
      <c r="T1073" s="24"/>
      <c r="U1073" s="24"/>
      <c r="V1073" s="24"/>
      <c r="W1073" s="24"/>
      <c r="X1073" s="24"/>
      <c r="Y1073" s="24"/>
      <c r="Z1073" s="24"/>
      <c r="AA1073" s="24"/>
      <c r="AB1073" s="200"/>
    </row>
    <row r="1074" spans="1:28" ht="40.049999999999997" customHeight="1">
      <c r="A1074" s="871"/>
      <c r="B1074" s="870"/>
      <c r="C1074" s="870"/>
      <c r="D1074" s="870"/>
      <c r="E1074" s="870"/>
      <c r="F1074" s="870"/>
      <c r="G1074" s="870"/>
      <c r="H1074" s="870"/>
      <c r="I1074" s="870"/>
      <c r="J1074" s="870"/>
      <c r="K1074" s="870"/>
      <c r="L1074" s="870"/>
      <c r="M1074" s="512"/>
      <c r="N1074" s="872"/>
      <c r="O1074" s="24"/>
      <c r="P1074" s="24"/>
      <c r="Q1074" s="24"/>
      <c r="R1074" s="24"/>
      <c r="S1074" s="24"/>
      <c r="T1074" s="24"/>
      <c r="U1074" s="24"/>
      <c r="V1074" s="24"/>
      <c r="W1074" s="24"/>
      <c r="X1074" s="24"/>
      <c r="Y1074" s="24"/>
      <c r="Z1074" s="24"/>
      <c r="AA1074" s="24"/>
      <c r="AB1074" s="200"/>
    </row>
    <row r="1075" spans="1:28" ht="4.95" customHeight="1">
      <c r="A1075" s="871"/>
      <c r="B1075" s="870"/>
      <c r="C1075" s="870"/>
      <c r="D1075" s="870"/>
      <c r="E1075" s="870"/>
      <c r="F1075" s="870"/>
      <c r="G1075" s="870"/>
      <c r="H1075" s="870"/>
      <c r="I1075" s="870"/>
      <c r="J1075" s="870"/>
      <c r="K1075" s="870"/>
      <c r="L1075" s="870"/>
      <c r="M1075" s="24"/>
      <c r="N1075" s="872"/>
      <c r="O1075" s="24"/>
      <c r="P1075" s="24"/>
      <c r="Q1075" s="24"/>
      <c r="R1075" s="24"/>
      <c r="S1075" s="24"/>
      <c r="T1075" s="24"/>
      <c r="U1075" s="24"/>
      <c r="V1075" s="24"/>
      <c r="W1075" s="24"/>
      <c r="X1075" s="24"/>
      <c r="Y1075" s="24"/>
      <c r="Z1075" s="24"/>
      <c r="AA1075" s="24"/>
      <c r="AB1075" s="200"/>
    </row>
    <row r="1076" spans="1:28">
      <c r="A1076" s="871"/>
      <c r="B1076" s="870"/>
      <c r="C1076" s="870"/>
      <c r="D1076" s="870"/>
      <c r="E1076" s="870"/>
      <c r="F1076" s="870"/>
      <c r="G1076" s="870"/>
      <c r="H1076" s="870"/>
      <c r="I1076" s="870"/>
      <c r="J1076" s="870"/>
      <c r="K1076" s="870"/>
      <c r="L1076" s="870"/>
      <c r="M1076" s="24"/>
      <c r="N1076" s="872"/>
      <c r="O1076" s="24"/>
      <c r="P1076" s="24"/>
      <c r="Q1076" s="24"/>
      <c r="R1076" s="24"/>
      <c r="S1076" s="24"/>
      <c r="T1076" s="24"/>
      <c r="U1076" s="24"/>
      <c r="V1076" s="24"/>
      <c r="W1076" s="24"/>
      <c r="X1076" s="24"/>
      <c r="Y1076" s="24"/>
      <c r="Z1076" s="24"/>
      <c r="AA1076" s="24"/>
      <c r="AB1076" s="200"/>
    </row>
    <row r="1077" spans="1:28">
      <c r="A1077" s="871"/>
      <c r="B1077" s="24"/>
      <c r="C1077" s="24"/>
      <c r="D1077" s="24"/>
      <c r="E1077" s="24"/>
      <c r="F1077" s="24"/>
      <c r="G1077" s="24"/>
      <c r="H1077" s="24"/>
      <c r="I1077" s="24"/>
      <c r="J1077" s="24"/>
      <c r="K1077" s="24"/>
      <c r="L1077" s="24"/>
      <c r="M1077" s="24"/>
      <c r="N1077" s="872"/>
      <c r="O1077" s="24"/>
      <c r="P1077" s="24"/>
      <c r="Q1077" s="24"/>
      <c r="R1077" s="24"/>
      <c r="S1077" s="24"/>
      <c r="T1077" s="24"/>
      <c r="U1077" s="24"/>
      <c r="V1077" s="24"/>
      <c r="W1077" s="24"/>
      <c r="X1077" s="24"/>
      <c r="Y1077" s="24"/>
      <c r="Z1077" s="24"/>
      <c r="AA1077" s="24"/>
      <c r="AB1077" s="200"/>
    </row>
    <row r="1078" spans="1:28" ht="14.4" thickBot="1">
      <c r="A1078" s="873"/>
      <c r="B1078" s="874"/>
      <c r="C1078" s="874"/>
      <c r="D1078" s="874"/>
      <c r="E1078" s="874"/>
      <c r="F1078" s="874"/>
      <c r="G1078" s="874"/>
      <c r="H1078" s="874"/>
      <c r="I1078" s="874"/>
      <c r="J1078" s="874"/>
      <c r="K1078" s="874"/>
      <c r="L1078" s="874"/>
      <c r="M1078" s="874"/>
      <c r="N1078" s="875"/>
      <c r="O1078" s="202"/>
      <c r="P1078" s="202"/>
      <c r="Q1078" s="202"/>
      <c r="R1078" s="202"/>
      <c r="S1078" s="202"/>
      <c r="T1078" s="202"/>
      <c r="U1078" s="202"/>
      <c r="V1078" s="202"/>
      <c r="W1078" s="202"/>
      <c r="X1078" s="202"/>
      <c r="Y1078" s="202"/>
      <c r="Z1078" s="202"/>
      <c r="AA1078" s="202"/>
      <c r="AB1078" s="203"/>
    </row>
    <row r="1079" spans="1:28" ht="14.4" thickTop="1">
      <c r="Q1079" s="511"/>
    </row>
    <row r="1174" spans="2:2" ht="14.4">
      <c r="B1174"/>
    </row>
    <row r="1260" hidden="1"/>
    <row r="1261" hidden="1"/>
    <row r="1262" hidden="1"/>
    <row r="1263" hidden="1"/>
    <row r="1264" hidden="1"/>
    <row r="1265" spans="1:34" hidden="1"/>
    <row r="1266" spans="1:34" hidden="1"/>
    <row r="1267" spans="1:34" hidden="1"/>
    <row r="1268" spans="1:34" hidden="1"/>
    <row r="1269" spans="1:34" ht="16.2" hidden="1">
      <c r="A1269" s="188" t="s">
        <v>1596</v>
      </c>
    </row>
    <row r="1270" spans="1:34" hidden="1">
      <c r="A1270" s="400" t="str">
        <f>IF($H98=$B1276,A1276,IF($H98=$B1277,A1277,IF($H98=$B1278,A1278,IF($H98=$B1279,A1279,IF($H98=$B1280,A1280,IF($H98=$B1281,A1281,IF($H98=$B1282,A1282,IF($H98=$B1283,A1283,IF($H98=$B1284,A1284,IF($H98=$B1285,A1285,IF($H98=$B1286,A1286,IF($H98=$B1287,A1287,IF($H98=$B1288,A1288,IF($H98=$B1289,A1289,IF($H98=$B1290,A1290,IF($H98=$B1291,A1291,IF($H98=$B1292,A1292,IF($H98=$B1293,A1293,""))))))))))))))))))</f>
        <v/>
      </c>
      <c r="B1270" s="2" t="str">
        <f>IF($H98=$B1276,B1276,IF($H98=$B1277,B1277,IF($H98=$B1278,B1278,IF($H98=$B1279,B1279,IF($H98=$B1280,B1280,IF($H98=$B1281,B1281,IF($H98=$B1282,B1282,IF($H98=$B1283,B1283,IF($H98=$B1284,B1284,IF($H98=$B1285,B1285,IF($H98=$B1286,B1286,IF($H98=$B1287,B1287,IF($H98=$B1288,B1288,IF($H98=$B1289,B1289,IF($H98=$B1290,B1290,IF($H98=$B1291,B1291,IF($H98=$B1292,B1292,IF($H98=$B1293,B1293,""))))))))))))))))))</f>
        <v/>
      </c>
      <c r="E1270" s="37" t="str">
        <f>IF(AND(A$1270&lt;-1,A$1270&gt;-10),B$1281,IF(AND(A$1270&gt;1,A$1270&lt;10),B$1288,IF(AND(A$1270&gt;-2,A$1270&lt;2),B$1285,"")))</f>
        <v/>
      </c>
      <c r="G1270" s="2" t="str">
        <f>IF(E1270="",AN91,E1270)</f>
        <v>independent</v>
      </c>
      <c r="I1270" s="313">
        <f>IF(G1270=B$1281,D$1281,IF(G1270=B$1286,D$1286,IF(G1270=B$1288,D$1288,"")))</f>
        <v>0</v>
      </c>
    </row>
    <row r="1271" spans="1:34" ht="16.2" hidden="1">
      <c r="A1271" s="188" t="s">
        <v>2586</v>
      </c>
    </row>
    <row r="1272" spans="1:34" hidden="1">
      <c r="A1272" s="400">
        <f>IF($H113=$B1276,A1276,IF($H113=$B1277,A1277,IF($H113=$B1278,A1278,IF($H113=$B1279,A1279,IF($H113=$B1280,A1280,IF($H113=$B1281,A1281,IF($H113=$B1282,A1282,IF($H113=$B1283,A1283,IF($H113=$B1284,A1284,IF($H113=$B1285,A1285,IF($H113=$B1286,A1286,IF($H113=$B1287,A1287,IF($H113=$B1288,A1288,IF($H113=$B1289,A1289,IF($H113=$B1290,A1290,IF($H113=$B1291,A1291,IF($H113=$B1292,A1292,IF($H113=$B1293,A1293,""))))))))))))))))))</f>
        <v>-3</v>
      </c>
      <c r="B1272" s="2" t="str">
        <f>IF($H113=$B1276,B1276,IF($H113=$B1277,B1277,IF($H113=$B1278,B1278,IF($H113=$B1279,B1279,IF($H113=$B1280,B1280,IF($H113=$B1281,B1281,IF($H113=$B1282,B1282,IF($H113=$B1283,B1283,IF($H113=$B1284,B1284,IF($H113=$B1285,B1287,IF($H113=$B1288,B1288,IF($H113=$B1289,B1289,IF($H113=$B1290,B1290,IF($H113=$B1291,B1291,IF($H113=$B1292,B1292,IF($H113=$B1293,B1293,IF($H113=$B1294,B1294,IF($H113=$B1295,B1295,""))))))))))))))))))</f>
        <v>LIBERAL</v>
      </c>
      <c r="E1272" s="37" t="str">
        <f>IF(AND(A$1272&lt;-1,A$1272&gt;-10),B$1281,IF(AND(A$1272&gt;1,A$1272&lt;10),B$1288,IF(AND(A$1272&gt;-2,A$1272&lt;2),B$1285,"")))</f>
        <v>LIBERAL</v>
      </c>
      <c r="G1272" s="2" t="str">
        <f>IF(E1272="",AN89,E1272)</f>
        <v>LIBERAL</v>
      </c>
      <c r="I1272" s="313" t="str">
        <f>IF(G1272=B$1281,D$1281,IF(G1272=B$1286,D$1286,IF(G1272=B$1288,D$1288,"")))</f>
        <v>liberal</v>
      </c>
    </row>
    <row r="1273" spans="1:34" hidden="1"/>
    <row r="1274" spans="1:34" hidden="1"/>
    <row r="1275" spans="1:34" hidden="1"/>
    <row r="1276" spans="1:34" hidden="1">
      <c r="A1276" s="400">
        <f t="shared" ref="A1276:A1281" si="22">A1277-1</f>
        <v>-8</v>
      </c>
      <c r="B1276" s="401" t="s">
        <v>1354</v>
      </c>
      <c r="H1276" s="2">
        <f t="shared" ref="H1276:H1293" si="23">IF(AND($H$98=B1276,$E$555=$B$1350),1,0)</f>
        <v>0</v>
      </c>
      <c r="I1276" s="2">
        <f t="shared" ref="I1276:I1293" si="24">IF(AND($H$98=B1276,$E$557=$B$1357),1,0)</f>
        <v>0</v>
      </c>
      <c r="J1276" s="37">
        <f>SUM(H1276:I1276)</f>
        <v>0</v>
      </c>
      <c r="AH1276" s="132"/>
    </row>
    <row r="1277" spans="1:34" hidden="1">
      <c r="A1277" s="400">
        <f t="shared" si="22"/>
        <v>-7</v>
      </c>
      <c r="B1277" s="401" t="s">
        <v>1344</v>
      </c>
      <c r="H1277" s="2">
        <f t="shared" si="23"/>
        <v>0</v>
      </c>
      <c r="I1277" s="2">
        <f t="shared" si="24"/>
        <v>0</v>
      </c>
      <c r="J1277" s="37">
        <f t="shared" ref="J1277:J1293" si="25">SUM(H1277:I1277)</f>
        <v>0</v>
      </c>
      <c r="AH1277" s="461"/>
    </row>
    <row r="1278" spans="1:34" hidden="1">
      <c r="A1278" s="400">
        <f t="shared" si="22"/>
        <v>-6</v>
      </c>
      <c r="B1278" s="401" t="s">
        <v>685</v>
      </c>
      <c r="H1278" s="2">
        <f t="shared" si="23"/>
        <v>0</v>
      </c>
      <c r="I1278" s="2">
        <f t="shared" si="24"/>
        <v>0</v>
      </c>
      <c r="J1278" s="37">
        <f t="shared" si="25"/>
        <v>0</v>
      </c>
      <c r="AH1278" s="461"/>
    </row>
    <row r="1279" spans="1:34" hidden="1">
      <c r="A1279" s="400">
        <f t="shared" si="22"/>
        <v>-5</v>
      </c>
      <c r="B1279" s="401" t="s">
        <v>1348</v>
      </c>
      <c r="H1279" s="2">
        <f t="shared" si="23"/>
        <v>0</v>
      </c>
      <c r="I1279" s="2">
        <f t="shared" si="24"/>
        <v>0</v>
      </c>
      <c r="J1279" s="37">
        <f t="shared" si="25"/>
        <v>0</v>
      </c>
      <c r="AH1279" s="461"/>
    </row>
    <row r="1280" spans="1:34" hidden="1">
      <c r="A1280" s="400">
        <f t="shared" si="22"/>
        <v>-4</v>
      </c>
      <c r="B1280" s="401" t="s">
        <v>1338</v>
      </c>
      <c r="D1280" s="2" t="s">
        <v>1339</v>
      </c>
      <c r="F1280" s="2" t="s">
        <v>1340</v>
      </c>
      <c r="H1280" s="2">
        <f t="shared" si="23"/>
        <v>0</v>
      </c>
      <c r="I1280" s="2">
        <f t="shared" si="24"/>
        <v>0</v>
      </c>
      <c r="J1280" s="37">
        <f t="shared" si="25"/>
        <v>0</v>
      </c>
      <c r="AH1280" s="461"/>
    </row>
    <row r="1281" spans="1:39" hidden="1">
      <c r="A1281" s="400">
        <f t="shared" si="22"/>
        <v>-3</v>
      </c>
      <c r="B1281" s="403" t="s">
        <v>1342</v>
      </c>
      <c r="D1281" s="37" t="s">
        <v>49</v>
      </c>
      <c r="H1281" s="2">
        <f t="shared" si="23"/>
        <v>0</v>
      </c>
      <c r="I1281" s="2">
        <f t="shared" si="24"/>
        <v>0</v>
      </c>
      <c r="J1281" s="37">
        <f t="shared" si="25"/>
        <v>0</v>
      </c>
      <c r="AH1281" s="461"/>
    </row>
    <row r="1282" spans="1:39" hidden="1">
      <c r="A1282" s="400">
        <f>A1283-1</f>
        <v>-2</v>
      </c>
      <c r="B1282" s="401" t="s">
        <v>680</v>
      </c>
      <c r="H1282" s="2">
        <f t="shared" si="23"/>
        <v>0</v>
      </c>
      <c r="I1282" s="2">
        <f t="shared" si="24"/>
        <v>0</v>
      </c>
      <c r="J1282" s="37">
        <f t="shared" si="25"/>
        <v>0</v>
      </c>
      <c r="AH1282" s="461"/>
    </row>
    <row r="1283" spans="1:39" hidden="1">
      <c r="A1283" s="400">
        <v>-1</v>
      </c>
      <c r="B1283" s="132" t="s">
        <v>1349</v>
      </c>
      <c r="H1283" s="2">
        <f t="shared" si="23"/>
        <v>0</v>
      </c>
      <c r="I1283" s="2">
        <f t="shared" si="24"/>
        <v>0</v>
      </c>
      <c r="J1283" s="37">
        <f t="shared" si="25"/>
        <v>0</v>
      </c>
      <c r="AH1283" s="461"/>
    </row>
    <row r="1284" spans="1:39" hidden="1">
      <c r="A1284" s="400">
        <v>0</v>
      </c>
      <c r="B1284" s="132" t="s">
        <v>1351</v>
      </c>
      <c r="H1284" s="2">
        <f t="shared" si="23"/>
        <v>0</v>
      </c>
      <c r="I1284" s="2">
        <f t="shared" si="24"/>
        <v>0</v>
      </c>
      <c r="J1284" s="37">
        <f t="shared" si="25"/>
        <v>0</v>
      </c>
    </row>
    <row r="1285" spans="1:39" hidden="1">
      <c r="A1285" s="400">
        <v>0</v>
      </c>
      <c r="B1285" s="132" t="s">
        <v>1352</v>
      </c>
      <c r="H1285" s="2">
        <f t="shared" si="23"/>
        <v>0</v>
      </c>
      <c r="I1285" s="2">
        <f t="shared" si="24"/>
        <v>0</v>
      </c>
      <c r="J1285" s="37">
        <f t="shared" si="25"/>
        <v>0</v>
      </c>
    </row>
    <row r="1286" spans="1:39" hidden="1">
      <c r="A1286" s="400">
        <f>A1285+1</f>
        <v>1</v>
      </c>
      <c r="B1286" s="132" t="s">
        <v>1350</v>
      </c>
      <c r="H1286" s="2">
        <f t="shared" si="23"/>
        <v>0</v>
      </c>
      <c r="I1286" s="2">
        <f t="shared" si="24"/>
        <v>0</v>
      </c>
      <c r="J1286" s="37">
        <f t="shared" si="25"/>
        <v>0</v>
      </c>
    </row>
    <row r="1287" spans="1:39" hidden="1">
      <c r="A1287" s="400">
        <f t="shared" ref="A1287:A1293" si="26">A1286+1</f>
        <v>2</v>
      </c>
      <c r="B1287" s="402" t="s">
        <v>681</v>
      </c>
      <c r="H1287" s="2">
        <f t="shared" si="23"/>
        <v>0</v>
      </c>
      <c r="I1287" s="2">
        <f t="shared" si="24"/>
        <v>0</v>
      </c>
      <c r="J1287" s="37">
        <f t="shared" si="25"/>
        <v>0</v>
      </c>
    </row>
    <row r="1288" spans="1:39" hidden="1">
      <c r="A1288" s="400">
        <f t="shared" si="26"/>
        <v>3</v>
      </c>
      <c r="B1288" s="404" t="s">
        <v>1357</v>
      </c>
      <c r="D1288" s="37" t="s">
        <v>50</v>
      </c>
      <c r="H1288" s="2">
        <f t="shared" si="23"/>
        <v>0</v>
      </c>
      <c r="I1288" s="2">
        <f t="shared" si="24"/>
        <v>0</v>
      </c>
      <c r="J1288" s="37">
        <f t="shared" si="25"/>
        <v>0</v>
      </c>
    </row>
    <row r="1289" spans="1:39" hidden="1">
      <c r="A1289" s="400">
        <f t="shared" si="26"/>
        <v>4</v>
      </c>
      <c r="B1289" s="402" t="s">
        <v>1353</v>
      </c>
      <c r="D1289" s="2" t="s">
        <v>1341</v>
      </c>
      <c r="H1289" s="2">
        <f t="shared" si="23"/>
        <v>0</v>
      </c>
      <c r="I1289" s="2">
        <f t="shared" si="24"/>
        <v>0</v>
      </c>
      <c r="J1289" s="37">
        <f t="shared" si="25"/>
        <v>0</v>
      </c>
    </row>
    <row r="1290" spans="1:39" hidden="1">
      <c r="A1290" s="400">
        <f t="shared" si="26"/>
        <v>5</v>
      </c>
      <c r="B1290" s="402" t="s">
        <v>1345</v>
      </c>
      <c r="H1290" s="2">
        <f t="shared" si="23"/>
        <v>0</v>
      </c>
      <c r="I1290" s="2">
        <f t="shared" si="24"/>
        <v>0</v>
      </c>
      <c r="J1290" s="37">
        <f t="shared" si="25"/>
        <v>0</v>
      </c>
    </row>
    <row r="1291" spans="1:39" hidden="1">
      <c r="A1291" s="400">
        <f t="shared" si="26"/>
        <v>6</v>
      </c>
      <c r="B1291" s="402" t="s">
        <v>1343</v>
      </c>
      <c r="H1291" s="2">
        <f t="shared" si="23"/>
        <v>0</v>
      </c>
      <c r="I1291" s="2">
        <f t="shared" si="24"/>
        <v>0</v>
      </c>
      <c r="J1291" s="37">
        <f t="shared" si="25"/>
        <v>0</v>
      </c>
    </row>
    <row r="1292" spans="1:39" hidden="1">
      <c r="A1292" s="400">
        <f t="shared" si="26"/>
        <v>7</v>
      </c>
      <c r="B1292" s="402" t="s">
        <v>1346</v>
      </c>
      <c r="H1292" s="2">
        <f t="shared" si="23"/>
        <v>0</v>
      </c>
      <c r="I1292" s="2">
        <f t="shared" si="24"/>
        <v>0</v>
      </c>
      <c r="J1292" s="37">
        <f t="shared" si="25"/>
        <v>0</v>
      </c>
    </row>
    <row r="1293" spans="1:39" hidden="1">
      <c r="A1293" s="400">
        <f t="shared" si="26"/>
        <v>8</v>
      </c>
      <c r="B1293" s="402" t="s">
        <v>1347</v>
      </c>
      <c r="H1293" s="2">
        <f t="shared" si="23"/>
        <v>0</v>
      </c>
      <c r="I1293" s="2">
        <f t="shared" si="24"/>
        <v>0</v>
      </c>
      <c r="J1293" s="37">
        <f t="shared" si="25"/>
        <v>0</v>
      </c>
      <c r="AJ1293" s="441" t="s">
        <v>1478</v>
      </c>
      <c r="AK1293" s="433"/>
      <c r="AL1293" s="433"/>
      <c r="AM1293" s="433"/>
    </row>
    <row r="1294" spans="1:39" ht="16.2" hidden="1">
      <c r="J1294" s="418">
        <f>SUM(J1276:J1293)</f>
        <v>0</v>
      </c>
      <c r="K1294" s="2" t="str">
        <f>IF(J1294&gt;1,P1295,P1296)</f>
        <v>The more your client's needs can resolve, the less prone to generalize for relief. The less attached they are to political generalizations.</v>
      </c>
      <c r="AJ1294" s="441" t="s">
        <v>1477</v>
      </c>
      <c r="AK1294" s="433"/>
      <c r="AL1294" s="433"/>
      <c r="AM1294" s="433"/>
    </row>
    <row r="1295" spans="1:39" hidden="1">
      <c r="P1295" s="2" t="s">
        <v>1423</v>
      </c>
      <c r="AJ1295" s="454" t="s">
        <v>1515</v>
      </c>
      <c r="AK1295" s="454" t="s">
        <v>1516</v>
      </c>
      <c r="AL1295" s="454" t="s">
        <v>1517</v>
      </c>
      <c r="AM1295" s="454" t="s">
        <v>1518</v>
      </c>
    </row>
    <row r="1296" spans="1:39" ht="15.6" hidden="1">
      <c r="B1296" s="407" t="str">
        <f>IF(OR(AND($A$1270&gt;0,$A$1272&lt;0),AND($A$1270&lt;0,$A$1272&gt;0)),"opposing","similar")</f>
        <v>opposing</v>
      </c>
      <c r="P1296" s="2" t="s">
        <v>1424</v>
      </c>
      <c r="AJ1296" s="455" t="str">
        <f>IF($E$1270=$B$1281,AJ1300,IF($E$1270=$B$1288,AK1300,"unmet needs"))</f>
        <v>unmet needs</v>
      </c>
      <c r="AK1296" s="455" t="str">
        <f>IF($E$1270=$B$1281,AK1300,IF($E$1270=$B$1288,AJ1300,"their unmet needs"))</f>
        <v>their unmet needs</v>
      </c>
      <c r="AL1296" s="455" t="str">
        <f>IF($E$1270=$B$1281,AL1300,IF($E$1270=$B$1288,AM1300,"met needs"))</f>
        <v>met needs</v>
      </c>
      <c r="AM1296" s="455" t="str">
        <f>IF($E$1270=$B$1281,AM1300,IF($E$1270=$B$1288,AL1300,"met needs"))</f>
        <v>met needs</v>
      </c>
    </row>
    <row r="1297" spans="1:44" ht="15.6" hidden="1">
      <c r="B1297" s="408"/>
      <c r="D1297" s="419" t="s">
        <v>1370</v>
      </c>
      <c r="X1297" s="2" t="s">
        <v>1462</v>
      </c>
      <c r="AJ1297" s="440" t="s">
        <v>1474</v>
      </c>
    </row>
    <row r="1298" spans="1:44" hidden="1">
      <c r="F1298" s="700"/>
      <c r="G1298" s="701" t="s">
        <v>2588</v>
      </c>
      <c r="H1298" s="700" t="str">
        <f>IF($E$1270=$B$1281,H$1300,IF($E$1270=$B$1288,I$1300,"one side"))</f>
        <v>one side</v>
      </c>
      <c r="I1298" s="702" t="str">
        <f>IF($E$1270=$B$1281,I$1300,IF($E$1270=$B$1288,H$1300,"the other"))</f>
        <v>the other</v>
      </c>
      <c r="J1298" s="700"/>
      <c r="K1298" s="701" t="s">
        <v>2589</v>
      </c>
      <c r="L1298" s="700" t="str">
        <f>IF($E$1270=$B$1281,L$1300,IF($E$1270=$B$1288,M$1300,"one's focus"))</f>
        <v>one's focus</v>
      </c>
      <c r="M1298" s="702" t="str">
        <f>IF($E$1270=$B$1281,M$1300,IF($E$1270=$B$1288,L$1300,"the other's focus"))</f>
        <v>the other's focus</v>
      </c>
      <c r="N1298" s="700"/>
      <c r="O1298" s="700"/>
      <c r="P1298" s="700" t="str">
        <f>IF($E$1270=$B$1281,P$1300,IF($E$1270=$B$1288,Q$1300,"one group"))</f>
        <v>one group</v>
      </c>
      <c r="Q1298" s="702" t="str">
        <f>IF($E$1270=$B$1281,Q$1300,IF($E$1270=$B$1288,P$1300,"another group"))</f>
        <v>another group</v>
      </c>
      <c r="R1298" s="700" t="str">
        <f>IF($E$1270=$B$1281,R$1300,IF($E$1270=$B$1288,S$1300,"relieve their pain"))</f>
        <v>relieve their pain</v>
      </c>
      <c r="S1298" s="702" t="str">
        <f>IF($E$1270=$B$1281,S$1300,IF($E$1270=$B$1288,R$1300,"do the opposite"))</f>
        <v>do the opposite</v>
      </c>
      <c r="T1298" s="700" t="str">
        <f>IF($E$1270=$B$1281,T$1300,IF($E$1270=$B$1288,U$1300,"both sides exaggerate"))</f>
        <v>both sides exaggerate</v>
      </c>
      <c r="U1298" s="702" t="str">
        <f>IF($E$1270=$B$1281,U$1300,IF($E$1270=$B$1288,T$1300,"they are right"))</f>
        <v>they are right</v>
      </c>
      <c r="V1298" s="700" t="str">
        <f>IF($E$1270=$B$1281,V$1300,IF($E$1270=$B$1288,W$1300,"overgeneralize too much"))</f>
        <v>overgeneralize too much</v>
      </c>
      <c r="W1298" s="702" t="str">
        <f>IF($E$1270=$B$1281,W$1300,IF($E$1270=$B$1288,V$1300,"others are wrong"))</f>
        <v>others are wrong</v>
      </c>
      <c r="X1298" s="700" t="str">
        <f>IF($E$1270=$B$1281,X$1300,IF($E$1270=$B$1288,Y$1300,"disgust"))</f>
        <v>disgust</v>
      </c>
      <c r="Y1298" s="702" t="str">
        <f>IF($E$1270=$B$1281,Y$1300,IF($E$1270=$B$1288,X$1300,"&amp;@&amp;"))</f>
        <v>&amp;@&amp;</v>
      </c>
      <c r="Z1298" s="700" t="str">
        <f>IF($E$1270=$B$1281,Z$1300,IF($E$1270=$B$1288,AA$1300,"disappointment"))</f>
        <v>disappointment</v>
      </c>
      <c r="AA1298" s="702" t="str">
        <f>IF($E$1270=$B$1281,AA$1300,IF($E$1270=$B$1288,Z$1300,"!#!"))</f>
        <v>!#!</v>
      </c>
      <c r="AC1298" s="132"/>
      <c r="AD1298" s="132"/>
      <c r="AE1298" s="132"/>
      <c r="AF1298" s="700" t="str">
        <f>IF($E$1270=$B$1281,AF$1300,IF($E$1270=$B$1288,AG$1300,"ideologues"))</f>
        <v>ideologues</v>
      </c>
      <c r="AG1298" s="702" t="str">
        <f>IF($E$1270=$B$1281,AG$1300,IF($E$1270=$B$1288,AF$1300,"appeasers"))</f>
        <v>appeasers</v>
      </c>
      <c r="AH1298" s="700" t="str">
        <f>IF($E$1270=$B$1281,AH$1300,IF($E$1270=$B$1288,AI$1300,"for peace"))</f>
        <v>for peace</v>
      </c>
      <c r="AI1298" s="702" t="str">
        <f>IF($E$1270=$B$1281,AI$1300,IF($E$1270=$B$1288,AH$1300,"to fight"))</f>
        <v>to fight</v>
      </c>
      <c r="AJ1298" s="700" t="str">
        <f>IF($E$1270=$B$1281,AJ$1300,IF($E$1270=$B$1288,AK$1300,"unity"))</f>
        <v>unity</v>
      </c>
      <c r="AK1298" s="702" t="str">
        <f>IF($E$1270=$B$1281,AK$1300,IF($E$1270=$B$1288,AJ$1300,"arguing"))</f>
        <v>arguing</v>
      </c>
      <c r="AL1298" s="700" t="str">
        <f>IF($E$1270=$B$1281,AL$1300,IF($E$1270=$B$1288,AM$1300,"cooperation"))</f>
        <v>cooperation</v>
      </c>
      <c r="AM1298" s="702" t="str">
        <f>IF($E$1270=$B$1281,AM$1300,IF($E$1270=$B$1288,AL$1300,"debating"))</f>
        <v>debating</v>
      </c>
      <c r="AN1298" s="700" t="str">
        <f>IF($E$1270=$B$1281,AN$1300,IF($E$1270=$B$1288,AO$1300,"just get along"))</f>
        <v>just get along</v>
      </c>
      <c r="AO1298" s="702" t="str">
        <f>IF($E$1270=$B$1281,AO$1300,IF($E$1270=$B$1288,AN$1300,"take a side"))</f>
        <v>take a side</v>
      </c>
      <c r="AP1298" s="700" t="str">
        <f>IF($E$1270=$B$1281,AP$1300,IF($E$1270=$B$1288,AQ$1300,"clashing needs"))</f>
        <v>clashing needs</v>
      </c>
      <c r="AQ1298" s="702" t="str">
        <f>IF($E$1270=$B$1281,AQ$1300,IF($E$1270=$B$1288,AP$1300,"the need for peace"))</f>
        <v>the need for peace</v>
      </c>
      <c r="AR1298" s="700"/>
    </row>
    <row r="1299" spans="1:44" hidden="1">
      <c r="F1299" s="461"/>
      <c r="G1299" s="462" t="s">
        <v>2587</v>
      </c>
      <c r="H1299" s="461" t="str">
        <f>IF($E$1272=$B$1281,H$1300,IF($E$1272=$B$1288,I$1300,"one side"))</f>
        <v/>
      </c>
      <c r="I1299" s="464" t="str">
        <f>IF($E$1272=$B$1281,I$1300,IF($E$1272=$B$1288,H$1300,"the other"))</f>
        <v/>
      </c>
      <c r="J1299" s="461" t="str">
        <f>IF($E$1272=$B$1281,J$1300,IF($E$1272=$B$1288,K$1300,""))</f>
        <v/>
      </c>
      <c r="K1299" s="464" t="str">
        <f>IF($E$1272=$B$1281,K$1300,IF($E$1272=$B$1288,J$1300,""))</f>
        <v/>
      </c>
      <c r="L1299" s="461" t="str">
        <f>IF($E$1272=$B$1281,L$1300,IF($E$1272=$B$1288,M$1300,""))</f>
        <v/>
      </c>
      <c r="M1299" s="464" t="str">
        <f>IF($E$1272=$B$1281,M$1300,IF($E$1272=$B$1288,L$1300,""))</f>
        <v/>
      </c>
      <c r="N1299" s="461"/>
      <c r="O1299" s="461"/>
      <c r="P1299" s="461" t="str">
        <f>IF($E$1272=$B$1281,P$1300,IF($E$1272=$B$1288,Q$1300,""))</f>
        <v/>
      </c>
      <c r="Q1299" s="464" t="str">
        <f>IF($E$1272=$B$1281,Q$1300,IF($E$1272=$B$1288,P$1300,""))</f>
        <v/>
      </c>
      <c r="R1299" s="461" t="str">
        <f>IF($E$1272=$B$1281,R$1300,IF($E$1272=$B$1288,S$1300,""))</f>
        <v/>
      </c>
      <c r="S1299" s="464" t="str">
        <f>IF($E$1272=$B$1281,S$1300,IF($E$1272=$B$1288,R$1300,""))</f>
        <v/>
      </c>
      <c r="T1299" s="461" t="str">
        <f>IF($E$1272=$B$1281,T$1300,IF($E$1272=$B$1288,U$1300,""))</f>
        <v/>
      </c>
      <c r="U1299" s="464" t="str">
        <f>IF($E$1272=$B$1281,U$1300,IF($E$1272=$B$1288,T$1300,""))</f>
        <v/>
      </c>
      <c r="V1299" s="461" t="str">
        <f>IF($E$1272=$B$1281,V$1300,IF($E$1272=$B$1288,W$1300,""))</f>
        <v/>
      </c>
      <c r="W1299" s="464" t="str">
        <f>IF($E$1272=$B$1281,W$1300,IF($E$1272=$B$1288,V$1300,""))</f>
        <v/>
      </c>
      <c r="X1299" s="461" t="str">
        <f>IF($E$1272=$B$1281,X$1300,IF($E$1272=$B$1288,Y$1300,""))</f>
        <v/>
      </c>
      <c r="Y1299" s="464" t="str">
        <f>IF($E$1272=$B$1281,Y$1300,IF($E$1272=$B$1288,X$1300,""))</f>
        <v/>
      </c>
      <c r="Z1299" s="461" t="str">
        <f>IF($E$1272=$B$1281,Z$1300,IF($E$1272=$B$1288,AA$1300,""))</f>
        <v/>
      </c>
      <c r="AA1299" s="464" t="str">
        <f>IF($E$1272=$B$1281,AA$1300,IF($E$1272=$B$1288,Z$1300,""))</f>
        <v/>
      </c>
      <c r="AC1299" s="461"/>
      <c r="AD1299" s="461"/>
      <c r="AE1299" s="461"/>
      <c r="AF1299" s="461" t="str">
        <f>IF($E$1272=$B$1281,AF$1300,IF($E$1272=$B$1288,AG$1300,""))</f>
        <v/>
      </c>
      <c r="AG1299" s="464" t="str">
        <f>IF($E$1272=$B$1281,AG$1300,IF($E$1272=$B$1288,AF$1300,""))</f>
        <v/>
      </c>
      <c r="AH1299" s="461" t="str">
        <f>IF($E$1272=$B$1281,AH$1300,IF($E$1272=$B$1288,AI$1300,""))</f>
        <v/>
      </c>
      <c r="AI1299" s="464" t="str">
        <f>IF($E$1272=$B$1281,AI$1300,IF($E$1272=$B$1288,AH$1300,""))</f>
        <v/>
      </c>
      <c r="AJ1299" s="461" t="str">
        <f>IF($E$1272=$B$1281,AJ$1300,IF($E$1272=$B$1288,AK$1300,"[a]"))</f>
        <v/>
      </c>
      <c r="AK1299" s="464" t="str">
        <f>IF($E$1272=$B$1281,AK$1300,IF($E$1272=$B$1288,AJ$1300,"[b]"))</f>
        <v/>
      </c>
      <c r="AL1299" s="461" t="str">
        <f>IF($E$1272=$B$1281,AL$1300,IF($E$1272=$B$1288,AM$1300,"[c]"))</f>
        <v/>
      </c>
      <c r="AM1299" s="464" t="str">
        <f>IF($E$1272=$B$1281,AM$1300,IF($E$1272=$B$1288,AL$1300,"[d]"))</f>
        <v/>
      </c>
      <c r="AN1299" s="461" t="str">
        <f>IF($E$1272=$B$1281,AN$1300,IF($E$1272=$B$1288,AO$1300,"w overgen"))</f>
        <v/>
      </c>
      <c r="AO1299" s="464" t="str">
        <f>IF($E$1272=$B$1281,AO$1300,IF($E$1272=$B$1288,AN$1300,"d overgen"))</f>
        <v/>
      </c>
      <c r="AP1299" s="461" t="str">
        <f>IF($E$1272=$B$1281,AP$1300,IF($E$1272=$B$1288,AQ$1300,"w degen"))</f>
        <v/>
      </c>
      <c r="AQ1299" s="464" t="str">
        <f>IF($E$1272=$B$1281,AQ$1300,IF($E$1272=$B$1288,AP$1300,"d degen"))</f>
        <v/>
      </c>
      <c r="AR1299" s="461"/>
    </row>
    <row r="1300" spans="1:44" hidden="1">
      <c r="B1300" s="414" t="str">
        <f>IF($H$115=$B1303,B1303,IF($H$115=$B1304,B1304,IF($H$115=$B1305,B1305,IF(H115=$B1306,B1306,IF($H$115=$B1307,B1307,IF($H$115=$B1308,B1308,IF($H$115=$B1309,B1309,IF($H$115=$B1310,B1310,IF($H$115=$B1311,B1311,IF($H$115=$B1312,B1312,IF($H$115=$B1313,B1313,IF($H$115=$B1314,B1314,""))))))))))))</f>
        <v/>
      </c>
      <c r="C1300" s="414" t="str">
        <f>IF($H$115=$B1303,C1303,IF($H$115=$B1304,C1304,IF($H$115=$B1305,C1305,IF($H$115=$B1306,C1306,IF($H$115=$B1307,C1307,IF($H$115=$B1308,C1308,IF($H$115=$B1309,C1309,IF($H$115=$B1310,C1310,IF($H$115=$B1311,C1311,IF($H$115=$B1312,C1312,IF($H$115=$B1313,C1313,IF($H$115=$B1314,C1314,""))))))))))))</f>
        <v/>
      </c>
      <c r="D1300" s="414" t="str">
        <f>IF($H$115=$B1303,D1303,IF($H$115=$B1304,D1304,IF($H$115=$B1305,D1305,IF($H$115=$B1306,D1306,IF($H$115=$B1307,D1307,IF($H$115=$B1308,D1308,IF($H$115=$B1309,D1309,IF($H$115=$B1310,D1310,IF($H$115=$B1311,D1311,IF($H$115=$B1312,D1312,IF($H$115=$B1313,D1313,IF($H$115=$B1314,D1314,""))))))))))))</f>
        <v/>
      </c>
      <c r="E1300" s="414"/>
      <c r="F1300" s="403" t="str">
        <f t="shared" ref="F1300:M1300" si="27">IF($H$115=$B1303,F1303,IF($H$115=$B1304,F1304,IF($H$115=$B1305,F1305,IF($H$115=$B1306,F1306,IF($H$115=$B1307,F1307,IF($H$115=$B1308,F1308,IF($H$115=$B1309,F1309,IF($H$115=$B1310,F1310,IF($H$115=$B1311,F1311,IF($H$115=$B1312,F1312,IF($H$115=$B1313,F1313,IF($H$115=$B1314,F1314,""))))))))))))</f>
        <v/>
      </c>
      <c r="G1300" s="415" t="str">
        <f t="shared" si="27"/>
        <v/>
      </c>
      <c r="H1300" s="403" t="str">
        <f t="shared" si="27"/>
        <v/>
      </c>
      <c r="I1300" s="415" t="str">
        <f t="shared" si="27"/>
        <v/>
      </c>
      <c r="J1300" s="403" t="str">
        <f t="shared" si="27"/>
        <v/>
      </c>
      <c r="K1300" s="415" t="str">
        <f t="shared" si="27"/>
        <v/>
      </c>
      <c r="L1300" s="403" t="str">
        <f t="shared" si="27"/>
        <v/>
      </c>
      <c r="M1300" s="415" t="str">
        <f t="shared" si="27"/>
        <v/>
      </c>
      <c r="N1300" s="414"/>
      <c r="O1300" s="414"/>
      <c r="P1300" s="403" t="str">
        <f t="shared" ref="P1300:AA1300" si="28">IF($H$115=$B1303,P1303,IF($H$115=$B1304,P1304,IF($H$115=$B1305,P1305,IF($H$115=$B1306,P1306,IF($H$115=$B1307,P1307,IF($H$115=$B1308,P1308,IF($H$115=$B1309,P1309,IF($H$115=$B1310,P1310,IF($H$115=$B1311,P1311,IF($H$115=$B1312,P1312,IF($H$115=$B1313,P1313,IF($H$115=$B1314,P1314,""))))))))))))</f>
        <v/>
      </c>
      <c r="Q1300" s="415" t="str">
        <f t="shared" si="28"/>
        <v/>
      </c>
      <c r="R1300" s="403" t="str">
        <f t="shared" si="28"/>
        <v/>
      </c>
      <c r="S1300" s="415" t="str">
        <f t="shared" si="28"/>
        <v/>
      </c>
      <c r="T1300" s="403" t="str">
        <f t="shared" si="28"/>
        <v/>
      </c>
      <c r="U1300" s="415" t="str">
        <f t="shared" si="28"/>
        <v/>
      </c>
      <c r="V1300" s="403" t="str">
        <f t="shared" si="28"/>
        <v/>
      </c>
      <c r="W1300" s="415" t="str">
        <f t="shared" si="28"/>
        <v/>
      </c>
      <c r="X1300" s="403" t="str">
        <f t="shared" si="28"/>
        <v/>
      </c>
      <c r="Y1300" s="415" t="str">
        <f t="shared" si="28"/>
        <v/>
      </c>
      <c r="Z1300" s="403" t="str">
        <f t="shared" si="28"/>
        <v/>
      </c>
      <c r="AA1300" s="415" t="str">
        <f t="shared" si="28"/>
        <v/>
      </c>
      <c r="AC1300" s="414"/>
      <c r="AD1300" s="403" t="str">
        <f t="shared" ref="AD1300:AQ1300" si="29">IF($H$115=$B1303,AD1303,IF($H$115=$B1304,AD1304,IF($H$115=$B1305,AD1305,IF($H$115=$B1306,AD1306,IF($H$115=$B1307,AD1307,IF($H$115=$B1308,AD1308,IF($H$115=$B1309,AD1309,IF($H$115=$B1310,AD1310,IF($H$115=$B1311,AD1311,IF($H$115=$B1312,AD1312,IF($H$115=$B1313,AD1313,IF($H$115=$B1314,AD1314,""))))))))))))</f>
        <v/>
      </c>
      <c r="AE1300" s="415" t="str">
        <f t="shared" si="29"/>
        <v/>
      </c>
      <c r="AF1300" s="403" t="str">
        <f t="shared" si="29"/>
        <v/>
      </c>
      <c r="AG1300" s="415" t="str">
        <f t="shared" si="29"/>
        <v/>
      </c>
      <c r="AH1300" s="456" t="str">
        <f t="shared" si="29"/>
        <v/>
      </c>
      <c r="AI1300" s="457" t="str">
        <f t="shared" si="29"/>
        <v/>
      </c>
      <c r="AJ1300" s="403" t="str">
        <f t="shared" si="29"/>
        <v/>
      </c>
      <c r="AK1300" s="415" t="str">
        <f t="shared" si="29"/>
        <v/>
      </c>
      <c r="AL1300" s="403" t="str">
        <f t="shared" si="29"/>
        <v/>
      </c>
      <c r="AM1300" s="415" t="str">
        <f t="shared" si="29"/>
        <v/>
      </c>
      <c r="AN1300" s="403" t="str">
        <f t="shared" si="29"/>
        <v/>
      </c>
      <c r="AO1300" s="415" t="str">
        <f t="shared" si="29"/>
        <v/>
      </c>
      <c r="AP1300" s="403" t="str">
        <f t="shared" si="29"/>
        <v/>
      </c>
      <c r="AQ1300" s="415" t="str">
        <f t="shared" si="29"/>
        <v/>
      </c>
    </row>
    <row r="1301" spans="1:44" hidden="1">
      <c r="R1301" s="2" t="s">
        <v>1313</v>
      </c>
      <c r="T1301" s="2" t="s">
        <v>1511</v>
      </c>
      <c r="X1301" s="2" t="s">
        <v>1461</v>
      </c>
      <c r="AF1301" s="47" t="s">
        <v>1456</v>
      </c>
      <c r="AN1301" s="194" t="s">
        <v>1575</v>
      </c>
      <c r="AP1301" s="194" t="s">
        <v>1510</v>
      </c>
    </row>
    <row r="1302" spans="1:44" ht="14.4" hidden="1" thickBot="1">
      <c r="B1302" s="411" t="s">
        <v>1283</v>
      </c>
      <c r="C1302" s="411"/>
      <c r="D1302" s="411"/>
      <c r="E1302" s="411"/>
      <c r="F1302" s="411" t="s">
        <v>1299</v>
      </c>
      <c r="G1302" s="411" t="s">
        <v>1300</v>
      </c>
      <c r="H1302" s="411"/>
      <c r="I1302" s="411"/>
      <c r="J1302" s="420" t="s">
        <v>1331</v>
      </c>
      <c r="K1302" s="420" t="s">
        <v>1332</v>
      </c>
      <c r="L1302" s="411" t="s">
        <v>1311</v>
      </c>
      <c r="M1302" s="411" t="s">
        <v>1312</v>
      </c>
      <c r="N1302" s="411"/>
      <c r="O1302" s="412"/>
      <c r="P1302" s="411" t="s">
        <v>1309</v>
      </c>
      <c r="Q1302" s="411" t="s">
        <v>1310</v>
      </c>
      <c r="R1302" s="411" t="s">
        <v>1314</v>
      </c>
      <c r="S1302" s="411" t="s">
        <v>1468</v>
      </c>
      <c r="T1302" s="420" t="s">
        <v>1331</v>
      </c>
      <c r="U1302" s="420" t="s">
        <v>1332</v>
      </c>
      <c r="V1302" s="420" t="s">
        <v>1333</v>
      </c>
      <c r="W1302" s="420" t="s">
        <v>1334</v>
      </c>
      <c r="X1302" s="411" t="s">
        <v>1367</v>
      </c>
      <c r="Y1302" s="411" t="s">
        <v>1465</v>
      </c>
      <c r="Z1302" s="411" t="s">
        <v>1366</v>
      </c>
      <c r="AA1302" s="411" t="s">
        <v>1466</v>
      </c>
      <c r="AD1302" s="420" t="s">
        <v>1364</v>
      </c>
      <c r="AE1302" s="420" t="s">
        <v>1365</v>
      </c>
      <c r="AF1302" s="413" t="s">
        <v>1390</v>
      </c>
      <c r="AG1302" s="413" t="s">
        <v>1391</v>
      </c>
      <c r="AH1302" s="411" t="s">
        <v>1464</v>
      </c>
      <c r="AI1302" s="411" t="s">
        <v>1467</v>
      </c>
      <c r="AJ1302" s="432" t="s">
        <v>1469</v>
      </c>
      <c r="AK1302" s="432" t="s">
        <v>1470</v>
      </c>
      <c r="AL1302" s="432" t="s">
        <v>1471</v>
      </c>
      <c r="AM1302" s="432" t="s">
        <v>1472</v>
      </c>
      <c r="AN1302" s="411" t="s">
        <v>1499</v>
      </c>
      <c r="AO1302" s="411" t="s">
        <v>1500</v>
      </c>
      <c r="AP1302" s="411" t="s">
        <v>1501</v>
      </c>
      <c r="AQ1302" s="411" t="s">
        <v>1502</v>
      </c>
    </row>
    <row r="1303" spans="1:44" ht="14.4" hidden="1" thickTop="1">
      <c r="A1303" s="400">
        <v>1</v>
      </c>
      <c r="B1303" s="2" t="s">
        <v>53</v>
      </c>
      <c r="C1303" s="2" t="s">
        <v>1093</v>
      </c>
      <c r="D1303" s="2" t="s">
        <v>991</v>
      </c>
      <c r="F1303" s="401" t="s">
        <v>1327</v>
      </c>
      <c r="G1303" s="416" t="s">
        <v>1415</v>
      </c>
      <c r="H1303" s="401" t="s">
        <v>1410</v>
      </c>
      <c r="I1303" s="416" t="s">
        <v>1414</v>
      </c>
      <c r="J1303" s="421" t="s">
        <v>2515</v>
      </c>
      <c r="K1303" s="422" t="s">
        <v>2516</v>
      </c>
      <c r="L1303" s="401" t="s">
        <v>1405</v>
      </c>
      <c r="M1303" s="416" t="s">
        <v>1408</v>
      </c>
      <c r="N1303" s="47" t="s">
        <v>3</v>
      </c>
      <c r="P1303" s="401" t="s">
        <v>1328</v>
      </c>
      <c r="Q1303" s="416" t="s">
        <v>1872</v>
      </c>
      <c r="R1303" s="401" t="s">
        <v>1871</v>
      </c>
      <c r="S1303" s="416" t="s">
        <v>1337</v>
      </c>
      <c r="T1303" s="421" t="s">
        <v>1330</v>
      </c>
      <c r="U1303" s="422" t="s">
        <v>1873</v>
      </c>
      <c r="V1303" s="423" t="s">
        <v>1329</v>
      </c>
      <c r="W1303" s="422" t="s">
        <v>1874</v>
      </c>
      <c r="X1303" s="437" t="s">
        <v>1457</v>
      </c>
      <c r="Y1303" s="439" t="s">
        <v>1428</v>
      </c>
      <c r="Z1303" s="437" t="s">
        <v>1458</v>
      </c>
      <c r="AA1303" s="439" t="s">
        <v>1429</v>
      </c>
      <c r="AD1303" s="514" t="s">
        <v>1336</v>
      </c>
      <c r="AE1303" s="515" t="s">
        <v>1335</v>
      </c>
      <c r="AF1303" s="446" t="s">
        <v>1991</v>
      </c>
      <c r="AG1303" s="447" t="s">
        <v>1980</v>
      </c>
      <c r="AH1303" s="450" t="s">
        <v>1534</v>
      </c>
      <c r="AI1303" s="451" t="s">
        <v>1535</v>
      </c>
      <c r="AJ1303" s="442" t="s">
        <v>1476</v>
      </c>
      <c r="AK1303" s="443" t="s">
        <v>1409</v>
      </c>
      <c r="AL1303" s="442" t="s">
        <v>200</v>
      </c>
      <c r="AM1303" s="443" t="s">
        <v>1473</v>
      </c>
      <c r="AN1303" s="434" t="s">
        <v>1503</v>
      </c>
      <c r="AO1303" s="435" t="s">
        <v>1504</v>
      </c>
      <c r="AP1303" s="434" t="s">
        <v>1506</v>
      </c>
      <c r="AQ1303" s="435" t="s">
        <v>1507</v>
      </c>
      <c r="AR1303" s="449" t="str">
        <f>$C1303</f>
        <v>Immigration</v>
      </c>
    </row>
    <row r="1304" spans="1:44" hidden="1">
      <c r="A1304" s="400">
        <v>2</v>
      </c>
      <c r="B1304" s="2" t="s">
        <v>81</v>
      </c>
      <c r="C1304" s="2" t="s">
        <v>1094</v>
      </c>
      <c r="D1304" s="2" t="s">
        <v>992</v>
      </c>
      <c r="F1304" s="401" t="s">
        <v>1868</v>
      </c>
      <c r="G1304" s="416" t="s">
        <v>1396</v>
      </c>
      <c r="H1304" s="401" t="s">
        <v>1867</v>
      </c>
      <c r="I1304" s="416" t="s">
        <v>1842</v>
      </c>
      <c r="J1304" s="424" t="s">
        <v>2517</v>
      </c>
      <c r="K1304" s="425" t="s">
        <v>2518</v>
      </c>
      <c r="L1304" s="401" t="s">
        <v>1843</v>
      </c>
      <c r="M1304" s="416" t="s">
        <v>1407</v>
      </c>
      <c r="N1304" s="47" t="s">
        <v>3</v>
      </c>
      <c r="P1304" s="401" t="s">
        <v>2607</v>
      </c>
      <c r="Q1304" s="416" t="s">
        <v>1857</v>
      </c>
      <c r="R1304" s="401" t="s">
        <v>1452</v>
      </c>
      <c r="S1304" s="416" t="s">
        <v>1870</v>
      </c>
      <c r="T1304" s="424" t="s">
        <v>1893</v>
      </c>
      <c r="U1304" s="425" t="s">
        <v>1895</v>
      </c>
      <c r="V1304" s="426" t="s">
        <v>1894</v>
      </c>
      <c r="W1304" s="425" t="s">
        <v>1927</v>
      </c>
      <c r="X1304" s="438" t="s">
        <v>1429</v>
      </c>
      <c r="Y1304" s="439" t="s">
        <v>2000</v>
      </c>
      <c r="Z1304" s="437" t="s">
        <v>1463</v>
      </c>
      <c r="AA1304" s="439" t="s">
        <v>1429</v>
      </c>
      <c r="AD1304" s="516" t="s">
        <v>3</v>
      </c>
      <c r="AE1304" s="517"/>
      <c r="AF1304" s="446" t="s">
        <v>1992</v>
      </c>
      <c r="AG1304" s="447" t="s">
        <v>1981</v>
      </c>
      <c r="AH1304" s="452" t="s">
        <v>1536</v>
      </c>
      <c r="AI1304" s="453" t="s">
        <v>1537</v>
      </c>
      <c r="AJ1304" s="444" t="s">
        <v>1475</v>
      </c>
      <c r="AK1304" s="445" t="s">
        <v>200</v>
      </c>
      <c r="AL1304" s="444" t="s">
        <v>563</v>
      </c>
      <c r="AM1304" s="445" t="s">
        <v>1514</v>
      </c>
      <c r="AN1304" s="434" t="s">
        <v>1557</v>
      </c>
      <c r="AO1304" s="435" t="s">
        <v>1509</v>
      </c>
      <c r="AP1304" s="434" t="s">
        <v>1505</v>
      </c>
      <c r="AQ1304" s="435" t="s">
        <v>1508</v>
      </c>
      <c r="AR1304" s="449" t="str">
        <f t="shared" ref="AR1304:AR1314" si="30">$C1304</f>
        <v>Climate change</v>
      </c>
    </row>
    <row r="1305" spans="1:44" hidden="1">
      <c r="A1305" s="400">
        <v>3</v>
      </c>
      <c r="B1305" s="2" t="s">
        <v>82</v>
      </c>
      <c r="C1305" s="2" t="s">
        <v>1095</v>
      </c>
      <c r="D1305" s="2" t="s">
        <v>993</v>
      </c>
      <c r="F1305" s="401" t="s">
        <v>1387</v>
      </c>
      <c r="G1305" s="416" t="s">
        <v>1388</v>
      </c>
      <c r="H1305" s="401" t="s">
        <v>1418</v>
      </c>
      <c r="I1305" s="416" t="s">
        <v>1419</v>
      </c>
      <c r="J1305" s="427" t="s">
        <v>2519</v>
      </c>
      <c r="K1305" s="425" t="s">
        <v>2521</v>
      </c>
      <c r="L1305" s="401" t="s">
        <v>1844</v>
      </c>
      <c r="M1305" s="416" t="s">
        <v>1409</v>
      </c>
      <c r="N1305" s="47" t="s">
        <v>3</v>
      </c>
      <c r="P1305" s="401" t="s">
        <v>1757</v>
      </c>
      <c r="Q1305" s="416" t="s">
        <v>1445</v>
      </c>
      <c r="R1305" s="401" t="s">
        <v>1446</v>
      </c>
      <c r="S1305" s="498" t="s">
        <v>1955</v>
      </c>
      <c r="T1305" s="427" t="s">
        <v>1896</v>
      </c>
      <c r="U1305" s="425" t="s">
        <v>2591</v>
      </c>
      <c r="V1305" s="428" t="s">
        <v>1928</v>
      </c>
      <c r="W1305" s="425" t="s">
        <v>2594</v>
      </c>
      <c r="X1305" s="437" t="s">
        <v>1427</v>
      </c>
      <c r="Y1305" s="439" t="s">
        <v>1427</v>
      </c>
      <c r="Z1305" s="437" t="s">
        <v>1428</v>
      </c>
      <c r="AA1305" s="439" t="s">
        <v>1428</v>
      </c>
      <c r="AD1305" s="516" t="s">
        <v>3</v>
      </c>
      <c r="AE1305" s="517"/>
      <c r="AF1305" s="446" t="s">
        <v>1993</v>
      </c>
      <c r="AG1305" s="447" t="s">
        <v>1982</v>
      </c>
      <c r="AH1305" s="452" t="s">
        <v>1538</v>
      </c>
      <c r="AI1305" s="453" t="s">
        <v>1539</v>
      </c>
      <c r="AJ1305" s="444" t="s">
        <v>1512</v>
      </c>
      <c r="AK1305" s="445" t="s">
        <v>1409</v>
      </c>
      <c r="AL1305" s="444" t="s">
        <v>563</v>
      </c>
      <c r="AM1305" s="445" t="s">
        <v>1473</v>
      </c>
      <c r="AN1305" s="436" t="s">
        <v>1558</v>
      </c>
      <c r="AO1305" s="435" t="s">
        <v>1559</v>
      </c>
      <c r="AP1305" s="436" t="s">
        <v>1445</v>
      </c>
      <c r="AQ1305" s="435" t="s">
        <v>1576</v>
      </c>
      <c r="AR1305" s="449" t="str">
        <f t="shared" si="30"/>
        <v>Gun safety</v>
      </c>
    </row>
    <row r="1306" spans="1:44" hidden="1">
      <c r="A1306" s="400">
        <v>4</v>
      </c>
      <c r="B1306" s="2" t="s">
        <v>83</v>
      </c>
      <c r="C1306" s="2" t="s">
        <v>1096</v>
      </c>
      <c r="D1306" s="2" t="s">
        <v>994</v>
      </c>
      <c r="F1306" s="401" t="s">
        <v>1301</v>
      </c>
      <c r="G1306" s="416" t="s">
        <v>1308</v>
      </c>
      <c r="H1306" s="401" t="s">
        <v>1306</v>
      </c>
      <c r="I1306" s="416" t="s">
        <v>1307</v>
      </c>
      <c r="J1306" s="427" t="s">
        <v>1901</v>
      </c>
      <c r="K1306" s="425" t="s">
        <v>2520</v>
      </c>
      <c r="L1306" s="401" t="s">
        <v>1304</v>
      </c>
      <c r="M1306" s="416" t="s">
        <v>1305</v>
      </c>
      <c r="N1306" s="47" t="s">
        <v>3</v>
      </c>
      <c r="P1306" s="401" t="s">
        <v>1589</v>
      </c>
      <c r="Q1306" s="416" t="s">
        <v>1590</v>
      </c>
      <c r="R1306" s="401" t="s">
        <v>1315</v>
      </c>
      <c r="S1306" s="416" t="s">
        <v>1316</v>
      </c>
      <c r="T1306" s="427" t="s">
        <v>1901</v>
      </c>
      <c r="U1306" s="425" t="s">
        <v>1900</v>
      </c>
      <c r="V1306" s="426" t="s">
        <v>1902</v>
      </c>
      <c r="W1306" s="425" t="s">
        <v>1899</v>
      </c>
      <c r="X1306" s="437" t="s">
        <v>1429</v>
      </c>
      <c r="Y1306" s="439" t="s">
        <v>1459</v>
      </c>
      <c r="Z1306" s="437" t="s">
        <v>564</v>
      </c>
      <c r="AA1306" s="439" t="s">
        <v>1460</v>
      </c>
      <c r="AD1306" s="516" t="s">
        <v>3</v>
      </c>
      <c r="AE1306" s="517"/>
      <c r="AF1306" s="446" t="s">
        <v>1994</v>
      </c>
      <c r="AG1306" s="447" t="s">
        <v>1983</v>
      </c>
      <c r="AH1306" s="452" t="s">
        <v>1540</v>
      </c>
      <c r="AI1306" s="453" t="s">
        <v>1541</v>
      </c>
      <c r="AJ1306" s="444" t="s">
        <v>1425</v>
      </c>
      <c r="AK1306" s="445" t="s">
        <v>198</v>
      </c>
      <c r="AL1306" s="444" t="s">
        <v>1533</v>
      </c>
      <c r="AM1306" s="445" t="s">
        <v>1513</v>
      </c>
      <c r="AN1306" s="436" t="s">
        <v>1560</v>
      </c>
      <c r="AO1306" s="435" t="s">
        <v>1561</v>
      </c>
      <c r="AP1306" s="436" t="s">
        <v>1578</v>
      </c>
      <c r="AQ1306" s="435" t="s">
        <v>1577</v>
      </c>
      <c r="AR1306" s="449" t="str">
        <f t="shared" si="30"/>
        <v>Abortion</v>
      </c>
    </row>
    <row r="1307" spans="1:44" hidden="1">
      <c r="A1307" s="400">
        <v>5</v>
      </c>
      <c r="B1307" s="2" t="s">
        <v>84</v>
      </c>
      <c r="C1307" s="2" t="s">
        <v>1097</v>
      </c>
      <c r="D1307" s="2" t="s">
        <v>995</v>
      </c>
      <c r="F1307" s="401" t="s">
        <v>1398</v>
      </c>
      <c r="G1307" s="416" t="s">
        <v>1397</v>
      </c>
      <c r="H1307" s="401" t="s">
        <v>1847</v>
      </c>
      <c r="I1307" s="416" t="s">
        <v>1846</v>
      </c>
      <c r="J1307" s="424" t="s">
        <v>2522</v>
      </c>
      <c r="K1307" s="425" t="s">
        <v>2523</v>
      </c>
      <c r="L1307" s="401" t="s">
        <v>1425</v>
      </c>
      <c r="M1307" s="416" t="s">
        <v>1426</v>
      </c>
      <c r="N1307" s="47" t="s">
        <v>3</v>
      </c>
      <c r="O1307" s="416"/>
      <c r="P1307" s="401" t="s">
        <v>1865</v>
      </c>
      <c r="Q1307" s="416" t="s">
        <v>1758</v>
      </c>
      <c r="R1307" s="401" t="s">
        <v>1759</v>
      </c>
      <c r="S1307" s="416" t="s">
        <v>1956</v>
      </c>
      <c r="T1307" s="424" t="s">
        <v>1903</v>
      </c>
      <c r="U1307" s="425" t="s">
        <v>1904</v>
      </c>
      <c r="V1307" s="426" t="s">
        <v>1889</v>
      </c>
      <c r="W1307" s="425" t="s">
        <v>1888</v>
      </c>
      <c r="X1307" s="437" t="s">
        <v>1490</v>
      </c>
      <c r="Y1307" s="439" t="s">
        <v>1496</v>
      </c>
      <c r="Z1307" s="437" t="s">
        <v>1428</v>
      </c>
      <c r="AA1307" s="439" t="s">
        <v>1497</v>
      </c>
      <c r="AD1307" s="516" t="s">
        <v>3</v>
      </c>
      <c r="AE1307" s="517"/>
      <c r="AF1307" s="446" t="s">
        <v>1995</v>
      </c>
      <c r="AG1307" s="447" t="s">
        <v>1984</v>
      </c>
      <c r="AH1307" s="452" t="s">
        <v>1542</v>
      </c>
      <c r="AI1307" s="453" t="s">
        <v>1543</v>
      </c>
      <c r="AJ1307" s="444" t="s">
        <v>1425</v>
      </c>
      <c r="AK1307" s="445" t="s">
        <v>1519</v>
      </c>
      <c r="AL1307" s="444" t="s">
        <v>1530</v>
      </c>
      <c r="AM1307" s="445" t="s">
        <v>1531</v>
      </c>
      <c r="AN1307" s="436" t="s">
        <v>1887</v>
      </c>
      <c r="AO1307" s="435" t="s">
        <v>1562</v>
      </c>
      <c r="AP1307" s="436" t="s">
        <v>1579</v>
      </c>
      <c r="AQ1307" s="435" t="s">
        <v>1447</v>
      </c>
      <c r="AR1307" s="449" t="str">
        <f t="shared" si="30"/>
        <v>Healthcare</v>
      </c>
    </row>
    <row r="1308" spans="1:44" hidden="1">
      <c r="A1308" s="400">
        <v>6</v>
      </c>
      <c r="B1308" s="2" t="s">
        <v>85</v>
      </c>
      <c r="C1308" s="2" t="s">
        <v>1098</v>
      </c>
      <c r="D1308" s="2" t="s">
        <v>996</v>
      </c>
      <c r="F1308" s="401" t="s">
        <v>1401</v>
      </c>
      <c r="G1308" s="416" t="s">
        <v>1402</v>
      </c>
      <c r="H1308" s="401" t="s">
        <v>1411</v>
      </c>
      <c r="I1308" s="416" t="s">
        <v>3167</v>
      </c>
      <c r="J1308" s="424" t="s">
        <v>2524</v>
      </c>
      <c r="K1308" s="425" t="s">
        <v>2525</v>
      </c>
      <c r="L1308" s="401" t="s">
        <v>1849</v>
      </c>
      <c r="M1308" s="416" t="s">
        <v>1850</v>
      </c>
      <c r="N1308" s="47" t="s">
        <v>3</v>
      </c>
      <c r="P1308" s="401" t="s">
        <v>1760</v>
      </c>
      <c r="Q1308" s="416" t="s">
        <v>1448</v>
      </c>
      <c r="R1308" s="401" t="s">
        <v>1880</v>
      </c>
      <c r="S1308" s="416" t="s">
        <v>1879</v>
      </c>
      <c r="T1308" s="424" t="s">
        <v>1882</v>
      </c>
      <c r="U1308" s="425" t="s">
        <v>1881</v>
      </c>
      <c r="V1308" s="426" t="s">
        <v>1878</v>
      </c>
      <c r="W1308" s="425" t="s">
        <v>1883</v>
      </c>
      <c r="X1308" s="437" t="s">
        <v>1488</v>
      </c>
      <c r="Y1308" s="439" t="s">
        <v>1487</v>
      </c>
      <c r="Z1308" s="437" t="s">
        <v>1489</v>
      </c>
      <c r="AA1308" s="439" t="s">
        <v>1486</v>
      </c>
      <c r="AD1308" s="516" t="s">
        <v>3</v>
      </c>
      <c r="AE1308" s="517"/>
      <c r="AF1308" s="446" t="s">
        <v>1996</v>
      </c>
      <c r="AG1308" s="447" t="s">
        <v>1985</v>
      </c>
      <c r="AH1308" s="452" t="s">
        <v>1544</v>
      </c>
      <c r="AI1308" s="453" t="s">
        <v>1877</v>
      </c>
      <c r="AJ1308" s="444" t="s">
        <v>579</v>
      </c>
      <c r="AK1308" s="445" t="s">
        <v>239</v>
      </c>
      <c r="AL1308" s="444" t="s">
        <v>563</v>
      </c>
      <c r="AM1308" s="445" t="s">
        <v>1890</v>
      </c>
      <c r="AN1308" s="436" t="s">
        <v>1565</v>
      </c>
      <c r="AO1308" s="435" t="s">
        <v>1947</v>
      </c>
      <c r="AP1308" s="436" t="s">
        <v>1972</v>
      </c>
      <c r="AQ1308" s="435" t="s">
        <v>1582</v>
      </c>
      <c r="AR1308" s="449" t="str">
        <f t="shared" si="30"/>
        <v>Criminal justice</v>
      </c>
    </row>
    <row r="1309" spans="1:44" hidden="1">
      <c r="A1309" s="400">
        <v>7</v>
      </c>
      <c r="B1309" s="2" t="s">
        <v>86</v>
      </c>
      <c r="C1309" s="2" t="s">
        <v>1099</v>
      </c>
      <c r="D1309" s="2" t="s">
        <v>1950</v>
      </c>
      <c r="F1309" s="401" t="s">
        <v>1804</v>
      </c>
      <c r="G1309" s="416" t="s">
        <v>1803</v>
      </c>
      <c r="H1309" s="401" t="s">
        <v>1801</v>
      </c>
      <c r="I1309" s="416" t="s">
        <v>1802</v>
      </c>
      <c r="J1309" s="424" t="s">
        <v>2526</v>
      </c>
      <c r="K1309" s="425" t="s">
        <v>2527</v>
      </c>
      <c r="L1309" s="401" t="s">
        <v>2460</v>
      </c>
      <c r="M1309" s="416" t="s">
        <v>2461</v>
      </c>
      <c r="N1309" s="47" t="s">
        <v>3</v>
      </c>
      <c r="P1309" s="401" t="s">
        <v>1449</v>
      </c>
      <c r="Q1309" s="416" t="s">
        <v>1450</v>
      </c>
      <c r="R1309" s="401" t="s">
        <v>1454</v>
      </c>
      <c r="S1309" s="416" t="s">
        <v>1455</v>
      </c>
      <c r="T1309" s="424" t="s">
        <v>1905</v>
      </c>
      <c r="U1309" s="425" t="s">
        <v>2592</v>
      </c>
      <c r="V1309" s="571" t="s">
        <v>1929</v>
      </c>
      <c r="W1309" s="572" t="s">
        <v>1906</v>
      </c>
      <c r="X1309" s="437" t="s">
        <v>1948</v>
      </c>
      <c r="Y1309" s="439" t="s">
        <v>2001</v>
      </c>
      <c r="Z1309" s="437" t="s">
        <v>1949</v>
      </c>
      <c r="AA1309" s="439" t="s">
        <v>1485</v>
      </c>
      <c r="AD1309" s="516" t="s">
        <v>3</v>
      </c>
      <c r="AE1309" s="517"/>
      <c r="AF1309" s="446" t="s">
        <v>1984</v>
      </c>
      <c r="AG1309" s="447" t="s">
        <v>1986</v>
      </c>
      <c r="AH1309" s="452" t="s">
        <v>1545</v>
      </c>
      <c r="AI1309" s="453" t="s">
        <v>1546</v>
      </c>
      <c r="AJ1309" s="444" t="s">
        <v>1520</v>
      </c>
      <c r="AK1309" s="445" t="s">
        <v>210</v>
      </c>
      <c r="AL1309" s="444" t="s">
        <v>569</v>
      </c>
      <c r="AM1309" s="445" t="s">
        <v>1522</v>
      </c>
      <c r="AN1309" s="436" t="s">
        <v>1566</v>
      </c>
      <c r="AO1309" s="435" t="s">
        <v>1564</v>
      </c>
      <c r="AP1309" s="436" t="s">
        <v>1973</v>
      </c>
      <c r="AQ1309" s="435" t="s">
        <v>1583</v>
      </c>
      <c r="AR1309" s="449" t="str">
        <f t="shared" si="30"/>
        <v>Economy</v>
      </c>
    </row>
    <row r="1310" spans="1:44" hidden="1">
      <c r="A1310" s="400">
        <v>8</v>
      </c>
      <c r="B1310" s="2" t="s">
        <v>1207</v>
      </c>
      <c r="C1310" s="2" t="s">
        <v>1100</v>
      </c>
      <c r="D1310" s="2" t="s">
        <v>998</v>
      </c>
      <c r="F1310" s="401" t="s">
        <v>1297</v>
      </c>
      <c r="G1310" s="416" t="s">
        <v>1386</v>
      </c>
      <c r="H1310" s="401" t="s">
        <v>1412</v>
      </c>
      <c r="I1310" s="416" t="s">
        <v>1416</v>
      </c>
      <c r="J1310" s="427" t="s">
        <v>2529</v>
      </c>
      <c r="K1310" s="425" t="s">
        <v>2528</v>
      </c>
      <c r="L1310" s="401" t="s">
        <v>1441</v>
      </c>
      <c r="M1310" s="416" t="s">
        <v>1965</v>
      </c>
      <c r="N1310" s="47" t="s">
        <v>3</v>
      </c>
      <c r="P1310" s="401" t="s">
        <v>1761</v>
      </c>
      <c r="Q1310" s="416" t="s">
        <v>1762</v>
      </c>
      <c r="R1310" s="401" t="s">
        <v>1433</v>
      </c>
      <c r="S1310" s="416" t="s">
        <v>1960</v>
      </c>
      <c r="T1310" s="427" t="s">
        <v>1908</v>
      </c>
      <c r="U1310" s="425" t="s">
        <v>1910</v>
      </c>
      <c r="V1310" s="426" t="s">
        <v>1907</v>
      </c>
      <c r="W1310" s="425" t="s">
        <v>1930</v>
      </c>
      <c r="X1310" s="437" t="s">
        <v>1483</v>
      </c>
      <c r="Y1310" s="439" t="s">
        <v>2002</v>
      </c>
      <c r="Z1310" s="437" t="s">
        <v>1484</v>
      </c>
      <c r="AA1310" s="439" t="s">
        <v>1481</v>
      </c>
      <c r="AD1310" s="516" t="s">
        <v>3</v>
      </c>
      <c r="AE1310" s="517" t="s">
        <v>1753</v>
      </c>
      <c r="AF1310" s="446" t="s">
        <v>1996</v>
      </c>
      <c r="AG1310" s="447" t="s">
        <v>1987</v>
      </c>
      <c r="AH1310" s="452" t="s">
        <v>1547</v>
      </c>
      <c r="AI1310" s="453" t="s">
        <v>1548</v>
      </c>
      <c r="AJ1310" s="444" t="s">
        <v>1521</v>
      </c>
      <c r="AK1310" s="445" t="s">
        <v>569</v>
      </c>
      <c r="AL1310" s="444" t="s">
        <v>569</v>
      </c>
      <c r="AM1310" s="445" t="s">
        <v>1524</v>
      </c>
      <c r="AN1310" s="436" t="s">
        <v>1567</v>
      </c>
      <c r="AO1310" s="435" t="s">
        <v>1568</v>
      </c>
      <c r="AP1310" s="436" t="s">
        <v>1974</v>
      </c>
      <c r="AQ1310" s="435" t="s">
        <v>1584</v>
      </c>
      <c r="AR1310" s="449" t="str">
        <f t="shared" si="30"/>
        <v>Racism</v>
      </c>
    </row>
    <row r="1311" spans="1:44" hidden="1">
      <c r="A1311" s="400">
        <v>9</v>
      </c>
      <c r="B1311" s="2" t="s">
        <v>1284</v>
      </c>
      <c r="C1311" s="2" t="s">
        <v>1287</v>
      </c>
      <c r="D1311" s="2" t="s">
        <v>1290</v>
      </c>
      <c r="F1311" s="401" t="s">
        <v>1318</v>
      </c>
      <c r="G1311" s="416" t="s">
        <v>1319</v>
      </c>
      <c r="H1311" s="401" t="s">
        <v>1413</v>
      </c>
      <c r="I1311" s="416" t="s">
        <v>1417</v>
      </c>
      <c r="J1311" s="424" t="s">
        <v>2530</v>
      </c>
      <c r="K1311" s="425" t="s">
        <v>2531</v>
      </c>
      <c r="L1311" s="401" t="s">
        <v>1966</v>
      </c>
      <c r="M1311" s="416" t="s">
        <v>1851</v>
      </c>
      <c r="N1311" s="47" t="s">
        <v>3</v>
      </c>
      <c r="P1311" s="401" t="s">
        <v>1320</v>
      </c>
      <c r="Q1311" s="416" t="s">
        <v>1852</v>
      </c>
      <c r="R1311" s="401" t="s">
        <v>1453</v>
      </c>
      <c r="S1311" s="416" t="s">
        <v>1959</v>
      </c>
      <c r="T1311" s="424" t="s">
        <v>1912</v>
      </c>
      <c r="U1311" s="425" t="s">
        <v>2593</v>
      </c>
      <c r="V1311" s="426" t="s">
        <v>1913</v>
      </c>
      <c r="W1311" s="425" t="s">
        <v>1914</v>
      </c>
      <c r="X1311" s="437" t="s">
        <v>1492</v>
      </c>
      <c r="Y1311" s="439" t="s">
        <v>1497</v>
      </c>
      <c r="Z1311" s="437" t="s">
        <v>1489</v>
      </c>
      <c r="AA1311" s="439" t="s">
        <v>1498</v>
      </c>
      <c r="AD1311" s="518" t="s">
        <v>1358</v>
      </c>
      <c r="AE1311" s="517"/>
      <c r="AF1311" s="446" t="s">
        <v>1997</v>
      </c>
      <c r="AG1311" s="447" t="s">
        <v>1988</v>
      </c>
      <c r="AH1311" s="452" t="s">
        <v>1549</v>
      </c>
      <c r="AI1311" s="453" t="s">
        <v>1550</v>
      </c>
      <c r="AJ1311" s="444" t="s">
        <v>1512</v>
      </c>
      <c r="AK1311" s="445" t="s">
        <v>239</v>
      </c>
      <c r="AL1311" s="444" t="s">
        <v>562</v>
      </c>
      <c r="AM1311" s="445" t="s">
        <v>1525</v>
      </c>
      <c r="AN1311" s="436" t="s">
        <v>1563</v>
      </c>
      <c r="AO1311" s="435" t="s">
        <v>1569</v>
      </c>
      <c r="AP1311" s="436" t="s">
        <v>1580</v>
      </c>
      <c r="AQ1311" s="435" t="s">
        <v>1585</v>
      </c>
      <c r="AR1311" s="449" t="str">
        <f t="shared" si="30"/>
        <v>Police brutality</v>
      </c>
    </row>
    <row r="1312" spans="1:44" hidden="1">
      <c r="A1312" s="400">
        <v>10</v>
      </c>
      <c r="B1312" s="2" t="s">
        <v>1285</v>
      </c>
      <c r="C1312" s="2" t="s">
        <v>1288</v>
      </c>
      <c r="D1312" s="2" t="s">
        <v>1291</v>
      </c>
      <c r="F1312" s="401" t="s">
        <v>1293</v>
      </c>
      <c r="G1312" s="416" t="s">
        <v>1294</v>
      </c>
      <c r="H1312" s="401" t="s">
        <v>1295</v>
      </c>
      <c r="I1312" s="416" t="s">
        <v>1296</v>
      </c>
      <c r="J1312" s="427" t="s">
        <v>2532</v>
      </c>
      <c r="K1312" s="425" t="s">
        <v>2533</v>
      </c>
      <c r="L1312" s="401" t="s">
        <v>1967</v>
      </c>
      <c r="M1312" s="416" t="s">
        <v>1968</v>
      </c>
      <c r="N1312" s="47" t="s">
        <v>3</v>
      </c>
      <c r="P1312" s="401" t="s">
        <v>1763</v>
      </c>
      <c r="Q1312" s="416" t="s">
        <v>1442</v>
      </c>
      <c r="R1312" s="497" t="s">
        <v>1764</v>
      </c>
      <c r="S1312" s="416" t="s">
        <v>1954</v>
      </c>
      <c r="T1312" s="427" t="s">
        <v>1919</v>
      </c>
      <c r="U1312" s="425" t="s">
        <v>1917</v>
      </c>
      <c r="V1312" s="428" t="s">
        <v>1916</v>
      </c>
      <c r="W1312" s="425" t="s">
        <v>1918</v>
      </c>
      <c r="X1312" s="437" t="s">
        <v>1479</v>
      </c>
      <c r="Y1312" s="439" t="s">
        <v>1480</v>
      </c>
      <c r="Z1312" s="437" t="s">
        <v>1491</v>
      </c>
      <c r="AA1312" s="439" t="s">
        <v>1491</v>
      </c>
      <c r="AD1312" s="516" t="s">
        <v>3</v>
      </c>
      <c r="AE1312" s="517" t="s">
        <v>1430</v>
      </c>
      <c r="AF1312" s="448" t="s">
        <v>1989</v>
      </c>
      <c r="AG1312" s="447" t="s">
        <v>1989</v>
      </c>
      <c r="AH1312" s="452" t="s">
        <v>1551</v>
      </c>
      <c r="AI1312" s="453" t="s">
        <v>1552</v>
      </c>
      <c r="AJ1312" s="444" t="s">
        <v>1425</v>
      </c>
      <c r="AK1312" s="445" t="s">
        <v>198</v>
      </c>
      <c r="AL1312" s="444" t="s">
        <v>1532</v>
      </c>
      <c r="AM1312" s="445" t="s">
        <v>1526</v>
      </c>
      <c r="AN1312" s="434" t="s">
        <v>1571</v>
      </c>
      <c r="AO1312" s="435" t="s">
        <v>1570</v>
      </c>
      <c r="AP1312" s="436" t="s">
        <v>1581</v>
      </c>
      <c r="AQ1312" s="435" t="s">
        <v>1586</v>
      </c>
      <c r="AR1312" s="449" t="str">
        <f t="shared" si="30"/>
        <v>Voting fairness</v>
      </c>
    </row>
    <row r="1313" spans="1:44" hidden="1">
      <c r="A1313" s="400">
        <v>11</v>
      </c>
      <c r="B1313" s="2" t="s">
        <v>1286</v>
      </c>
      <c r="C1313" s="2" t="s">
        <v>1289</v>
      </c>
      <c r="D1313" s="2" t="s">
        <v>1292</v>
      </c>
      <c r="F1313" s="401" t="s">
        <v>1798</v>
      </c>
      <c r="G1313" s="416" t="s">
        <v>1799</v>
      </c>
      <c r="H1313" s="401" t="s">
        <v>1800</v>
      </c>
      <c r="I1313" s="416" t="s">
        <v>1856</v>
      </c>
      <c r="J1313" s="427" t="s">
        <v>2534</v>
      </c>
      <c r="K1313" s="425" t="s">
        <v>2535</v>
      </c>
      <c r="L1313" s="401" t="s">
        <v>1853</v>
      </c>
      <c r="M1313" s="416" t="s">
        <v>1854</v>
      </c>
      <c r="N1313" s="47" t="s">
        <v>3</v>
      </c>
      <c r="P1313" s="401" t="s">
        <v>1451</v>
      </c>
      <c r="Q1313" s="416" t="s">
        <v>1857</v>
      </c>
      <c r="R1313" s="401" t="s">
        <v>1957</v>
      </c>
      <c r="S1313" s="416" t="s">
        <v>1317</v>
      </c>
      <c r="T1313" s="427" t="s">
        <v>1920</v>
      </c>
      <c r="U1313" s="425" t="s">
        <v>1922</v>
      </c>
      <c r="V1313" s="426" t="s">
        <v>1921</v>
      </c>
      <c r="W1313" s="425" t="s">
        <v>1931</v>
      </c>
      <c r="X1313" s="437" t="s">
        <v>1368</v>
      </c>
      <c r="Y1313" s="439" t="s">
        <v>1368</v>
      </c>
      <c r="Z1313" s="437" t="s">
        <v>1498</v>
      </c>
      <c r="AA1313" s="439" t="s">
        <v>1369</v>
      </c>
      <c r="AD1313" s="516" t="s">
        <v>3</v>
      </c>
      <c r="AE1313" s="517"/>
      <c r="AF1313" s="446" t="s">
        <v>1998</v>
      </c>
      <c r="AG1313" s="447" t="s">
        <v>1990</v>
      </c>
      <c r="AH1313" s="452" t="s">
        <v>1553</v>
      </c>
      <c r="AI1313" s="453" t="s">
        <v>1554</v>
      </c>
      <c r="AJ1313" s="444" t="s">
        <v>1523</v>
      </c>
      <c r="AK1313" s="445" t="s">
        <v>1527</v>
      </c>
      <c r="AL1313" s="444" t="s">
        <v>563</v>
      </c>
      <c r="AM1313" s="445" t="s">
        <v>1528</v>
      </c>
      <c r="AN1313" s="434" t="s">
        <v>1572</v>
      </c>
      <c r="AO1313" s="435" t="s">
        <v>1573</v>
      </c>
      <c r="AP1313" s="436" t="s">
        <v>1975</v>
      </c>
      <c r="AQ1313" s="435" t="s">
        <v>1587</v>
      </c>
      <c r="AR1313" s="449" t="str">
        <f t="shared" si="30"/>
        <v>Covid safety</v>
      </c>
    </row>
    <row r="1314" spans="1:44" hidden="1">
      <c r="A1314" s="400">
        <v>12</v>
      </c>
      <c r="B1314" s="2" t="s">
        <v>1859</v>
      </c>
      <c r="C1314" s="2" t="s">
        <v>1860</v>
      </c>
      <c r="D1314" s="2" t="s">
        <v>1858</v>
      </c>
      <c r="F1314" s="401" t="s">
        <v>1862</v>
      </c>
      <c r="G1314" s="416" t="s">
        <v>1392</v>
      </c>
      <c r="H1314" s="401" t="s">
        <v>1861</v>
      </c>
      <c r="I1314" s="416" t="s">
        <v>1393</v>
      </c>
      <c r="J1314" s="429" t="s">
        <v>2536</v>
      </c>
      <c r="K1314" s="430" t="s">
        <v>2537</v>
      </c>
      <c r="L1314" s="401" t="s">
        <v>1443</v>
      </c>
      <c r="M1314" s="416" t="s">
        <v>1444</v>
      </c>
      <c r="N1314" s="47" t="s">
        <v>3</v>
      </c>
      <c r="P1314" s="401" t="s">
        <v>1765</v>
      </c>
      <c r="Q1314" s="416" t="s">
        <v>1766</v>
      </c>
      <c r="R1314" s="401" t="s">
        <v>1952</v>
      </c>
      <c r="S1314" s="498" t="s">
        <v>1953</v>
      </c>
      <c r="T1314" s="429" t="s">
        <v>1923</v>
      </c>
      <c r="U1314" s="430" t="s">
        <v>1924</v>
      </c>
      <c r="V1314" s="431" t="s">
        <v>1926</v>
      </c>
      <c r="W1314" s="430" t="s">
        <v>1925</v>
      </c>
      <c r="X1314" s="437" t="s">
        <v>1368</v>
      </c>
      <c r="Y1314" s="439" t="s">
        <v>1494</v>
      </c>
      <c r="Z1314" s="437" t="s">
        <v>1495</v>
      </c>
      <c r="AA1314" s="439" t="s">
        <v>1493</v>
      </c>
      <c r="AD1314" s="519" t="s">
        <v>1420</v>
      </c>
      <c r="AE1314" s="520"/>
      <c r="AF1314" s="446" t="s">
        <v>1999</v>
      </c>
      <c r="AG1314" s="447" t="s">
        <v>1979</v>
      </c>
      <c r="AH1314" s="452" t="s">
        <v>1555</v>
      </c>
      <c r="AI1314" s="453" t="s">
        <v>1556</v>
      </c>
      <c r="AJ1314" s="444" t="s">
        <v>1425</v>
      </c>
      <c r="AK1314" s="445" t="s">
        <v>567</v>
      </c>
      <c r="AL1314" s="444" t="s">
        <v>567</v>
      </c>
      <c r="AM1314" s="445" t="s">
        <v>1529</v>
      </c>
      <c r="AN1314" s="434" t="s">
        <v>1574</v>
      </c>
      <c r="AO1314" s="435" t="s">
        <v>1977</v>
      </c>
      <c r="AP1314" s="436" t="s">
        <v>1971</v>
      </c>
      <c r="AQ1314" s="435" t="s">
        <v>1978</v>
      </c>
      <c r="AR1314" s="449" t="str">
        <f t="shared" si="30"/>
        <v>Public speech</v>
      </c>
    </row>
    <row r="1315" spans="1:44" hidden="1">
      <c r="A1315" s="400">
        <v>13</v>
      </c>
      <c r="D1315" s="575" t="s">
        <v>1933</v>
      </c>
      <c r="E1315" s="575"/>
    </row>
    <row r="1316" spans="1:44" hidden="1">
      <c r="A1316" s="400">
        <v>14</v>
      </c>
      <c r="D1316" s="575" t="s">
        <v>1909</v>
      </c>
      <c r="E1316" s="575"/>
      <c r="U1316" s="575" t="s">
        <v>1911</v>
      </c>
      <c r="X1316" s="437" t="s">
        <v>1482</v>
      </c>
    </row>
    <row r="1317" spans="1:44" hidden="1">
      <c r="A1317" s="400">
        <v>15</v>
      </c>
      <c r="D1317" s="575" t="s">
        <v>1932</v>
      </c>
      <c r="E1317" s="575"/>
    </row>
    <row r="1318" spans="1:44" hidden="1">
      <c r="A1318" s="400">
        <v>16</v>
      </c>
      <c r="D1318" s="575" t="s">
        <v>1934</v>
      </c>
      <c r="E1318" s="575"/>
    </row>
    <row r="1319" spans="1:44" hidden="1">
      <c r="A1319" s="400">
        <v>17</v>
      </c>
      <c r="D1319" s="575" t="s">
        <v>1935</v>
      </c>
      <c r="E1319" s="575"/>
    </row>
    <row r="1320" spans="1:44" hidden="1">
      <c r="A1320" s="400">
        <v>18</v>
      </c>
      <c r="D1320" s="575" t="s">
        <v>1936</v>
      </c>
      <c r="E1320" s="575"/>
    </row>
    <row r="1321" spans="1:44" hidden="1">
      <c r="A1321" s="400">
        <v>19</v>
      </c>
      <c r="D1321" s="575" t="s">
        <v>1937</v>
      </c>
      <c r="E1321" s="575"/>
    </row>
    <row r="1322" spans="1:44" hidden="1">
      <c r="A1322" s="400">
        <v>20</v>
      </c>
      <c r="D1322" s="575" t="s">
        <v>1938</v>
      </c>
      <c r="E1322" s="575"/>
    </row>
    <row r="1323" spans="1:44" hidden="1">
      <c r="A1323" s="400">
        <v>21</v>
      </c>
      <c r="D1323" s="575" t="s">
        <v>1939</v>
      </c>
      <c r="E1323" s="575"/>
    </row>
    <row r="1324" spans="1:44" hidden="1">
      <c r="A1324" s="400">
        <v>22</v>
      </c>
      <c r="D1324" s="575" t="s">
        <v>1940</v>
      </c>
      <c r="E1324" s="575"/>
    </row>
    <row r="1325" spans="1:44" hidden="1">
      <c r="A1325" s="400">
        <v>23</v>
      </c>
      <c r="D1325" s="575" t="s">
        <v>1941</v>
      </c>
      <c r="E1325" s="575"/>
    </row>
    <row r="1326" spans="1:44" hidden="1">
      <c r="A1326" s="400">
        <v>24</v>
      </c>
      <c r="D1326" s="575" t="s">
        <v>1942</v>
      </c>
      <c r="E1326" s="575"/>
    </row>
    <row r="1327" spans="1:44" hidden="1">
      <c r="D1327" s="575" t="s">
        <v>1944</v>
      </c>
      <c r="E1327" s="575"/>
      <c r="F1327" s="575" t="s">
        <v>1884</v>
      </c>
      <c r="G1327" s="575" t="s">
        <v>1885</v>
      </c>
    </row>
    <row r="1328" spans="1:44" hidden="1"/>
    <row r="1329" spans="2:31" hidden="1">
      <c r="T1329" s="575" t="s">
        <v>1884</v>
      </c>
      <c r="U1329" s="575" t="s">
        <v>1885</v>
      </c>
    </row>
    <row r="1330" spans="2:31" hidden="1">
      <c r="T1330" s="575" t="s">
        <v>1886</v>
      </c>
      <c r="U1330" s="575" t="s">
        <v>1945</v>
      </c>
    </row>
    <row r="1331" spans="2:31" hidden="1"/>
    <row r="1332" spans="2:31" hidden="1"/>
    <row r="1333" spans="2:31" ht="14.4" hidden="1">
      <c r="B1333" s="575" t="s">
        <v>1138</v>
      </c>
      <c r="C1333" s="575" t="s">
        <v>1355</v>
      </c>
      <c r="D1333" s="575" t="s">
        <v>1356</v>
      </c>
      <c r="E1333" s="575"/>
      <c r="F1333" s="575" t="s">
        <v>1323</v>
      </c>
      <c r="G1333" s="575" t="s">
        <v>1324</v>
      </c>
      <c r="H1333" s="575"/>
      <c r="I1333" s="575"/>
      <c r="J1333" s="575" t="s">
        <v>1321</v>
      </c>
      <c r="K1333" s="575" t="s">
        <v>1322</v>
      </c>
      <c r="L1333" s="575"/>
      <c r="M1333" s="575"/>
      <c r="P1333"/>
    </row>
    <row r="1334" spans="2:31" ht="14.4" hidden="1" thickBot="1">
      <c r="B1334" s="125" t="s">
        <v>2630</v>
      </c>
      <c r="U1334" s="597" t="str">
        <f>IF(AND(U1335&gt;W1335,U1335&lt;=X1335),Y1335,IF(AND(U1335&gt;W1336,U1335&lt;=X1336),Y1336,IF(AND(U1335&gt;W1337,U1335&lt;=X1337),Y1337,IF(AND(U1335&gt;W1338,U1335&lt;=X1338),Y1338,IF(AND(U1335&gt;W1339,U1335&lt;=X1339),Y1339,IF(AND(U1335&gt;W1340,U1335&lt;=X1340),Y1340,IF(AND(U1335&gt;W1341,U1335&lt;=X1341),Y1341,IF(AND(U1335&gt;W1342,U1335&lt;=X1342),Y1342,""))))))))</f>
        <v/>
      </c>
    </row>
    <row r="1335" spans="2:31" ht="14.4" hidden="1" thickBot="1">
      <c r="B1335" s="709" t="str">
        <f>IF(E551=B1336,B1336,IF(E551=B1337,B1337,IF(E551=B1338,B1338,IF(E551=B1339,B1249,IF(E551=1342,B1340,"")))))</f>
        <v/>
      </c>
      <c r="C1335" s="671"/>
      <c r="D1335" s="671"/>
      <c r="E1335" s="671"/>
      <c r="F1335" s="672"/>
      <c r="G1335" s="566" t="str">
        <f>IF(E551=B1336,-1,IF(E551=B1337,0,IF(E551=B1338,1,IF(E551=B1339,0,IF(E551=B1340,-1,"")))))</f>
        <v/>
      </c>
      <c r="H1335" s="2">
        <f>IF(G1335="",1,0)</f>
        <v>1</v>
      </c>
      <c r="U1335" s="597" t="str">
        <f>G1371</f>
        <v/>
      </c>
      <c r="W1335" s="2">
        <v>-1</v>
      </c>
      <c r="X1335" s="2">
        <f>W1335+0.25</f>
        <v>-0.75</v>
      </c>
      <c r="Y1335" s="711" t="s">
        <v>2662</v>
      </c>
      <c r="AE1335" s="711" t="s">
        <v>2655</v>
      </c>
    </row>
    <row r="1336" spans="2:31" hidden="1">
      <c r="B1336" s="194" t="s">
        <v>2625</v>
      </c>
      <c r="W1336" s="2">
        <f>X1335</f>
        <v>-0.75</v>
      </c>
      <c r="X1336" s="2">
        <f>W1336+0.25</f>
        <v>-0.5</v>
      </c>
      <c r="Y1336" s="711" t="s">
        <v>2660</v>
      </c>
      <c r="AE1336" s="711" t="s">
        <v>2660</v>
      </c>
    </row>
    <row r="1337" spans="2:31" hidden="1">
      <c r="B1337" s="194" t="s">
        <v>2626</v>
      </c>
      <c r="W1337" s="2">
        <f t="shared" ref="W1337:W1342" si="31">X1336</f>
        <v>-0.5</v>
      </c>
      <c r="X1337" s="2">
        <f t="shared" ref="X1337:X1342" si="32">W1337+0.25</f>
        <v>-0.25</v>
      </c>
      <c r="Y1337" s="711" t="s">
        <v>2663</v>
      </c>
      <c r="AE1337" s="711" t="s">
        <v>2661</v>
      </c>
    </row>
    <row r="1338" spans="2:31" hidden="1">
      <c r="B1338" s="194" t="s">
        <v>2627</v>
      </c>
      <c r="W1338" s="2">
        <f t="shared" si="31"/>
        <v>-0.25</v>
      </c>
      <c r="X1338" s="2">
        <f t="shared" si="32"/>
        <v>0</v>
      </c>
      <c r="Y1338" s="711" t="s">
        <v>2664</v>
      </c>
      <c r="AE1338" s="711" t="s">
        <v>2657</v>
      </c>
    </row>
    <row r="1339" spans="2:31" hidden="1">
      <c r="B1339" s="194" t="s">
        <v>2628</v>
      </c>
      <c r="W1339" s="2">
        <f t="shared" si="31"/>
        <v>0</v>
      </c>
      <c r="X1339" s="2">
        <f t="shared" si="32"/>
        <v>0.25</v>
      </c>
      <c r="Y1339" s="711" t="s">
        <v>2668</v>
      </c>
      <c r="AE1339" s="711" t="s">
        <v>2654</v>
      </c>
    </row>
    <row r="1340" spans="2:31" hidden="1">
      <c r="B1340" s="194" t="s">
        <v>2629</v>
      </c>
      <c r="W1340" s="2">
        <f t="shared" si="31"/>
        <v>0.25</v>
      </c>
      <c r="X1340" s="2">
        <f t="shared" si="32"/>
        <v>0.5</v>
      </c>
      <c r="Y1340" s="711" t="s">
        <v>2665</v>
      </c>
      <c r="AE1340" s="711" t="s">
        <v>2658</v>
      </c>
    </row>
    <row r="1341" spans="2:31" ht="14.4" hidden="1" thickBot="1">
      <c r="B1341" s="125" t="s">
        <v>2631</v>
      </c>
      <c r="W1341" s="2">
        <f t="shared" si="31"/>
        <v>0.5</v>
      </c>
      <c r="X1341" s="2">
        <f t="shared" si="32"/>
        <v>0.75</v>
      </c>
      <c r="Y1341" s="711" t="s">
        <v>2666</v>
      </c>
      <c r="AE1341" s="711" t="s">
        <v>2659</v>
      </c>
    </row>
    <row r="1342" spans="2:31" ht="14.4" hidden="1" thickBot="1">
      <c r="B1342" s="709" t="str">
        <f>IF(E553=B1343,B1343,IF(E553=B1344,B1344,IF(E553=B1345,B1345,IF(E553=B1346,B1346,IF(E553=B1347,B1347,"")))))</f>
        <v/>
      </c>
      <c r="C1342" s="671"/>
      <c r="D1342" s="671"/>
      <c r="E1342" s="671"/>
      <c r="F1342" s="672"/>
      <c r="G1342" s="566" t="str">
        <f>IF(E553=B1343,1,IF(E553=B1344,0.5,IF(E553=B1345,0,IF(E553=B1346,-0.5,IF(E553=B1347,-1,"")))))</f>
        <v/>
      </c>
      <c r="H1342" s="2">
        <f>IF(G1342="",1,0)</f>
        <v>1</v>
      </c>
      <c r="W1342" s="2">
        <f t="shared" si="31"/>
        <v>0.75</v>
      </c>
      <c r="X1342" s="2">
        <f t="shared" si="32"/>
        <v>1</v>
      </c>
      <c r="Y1342" s="711" t="s">
        <v>2667</v>
      </c>
      <c r="AE1342" s="711" t="s">
        <v>2656</v>
      </c>
    </row>
    <row r="1343" spans="2:31" hidden="1">
      <c r="B1343" s="194" t="s">
        <v>2624</v>
      </c>
    </row>
    <row r="1344" spans="2:31" hidden="1">
      <c r="B1344" s="194" t="s">
        <v>2640</v>
      </c>
    </row>
    <row r="1345" spans="2:33" hidden="1">
      <c r="B1345" s="194" t="s">
        <v>2641</v>
      </c>
    </row>
    <row r="1346" spans="2:33" hidden="1">
      <c r="B1346" s="194" t="s">
        <v>2642</v>
      </c>
    </row>
    <row r="1347" spans="2:33" hidden="1">
      <c r="B1347" s="194" t="s">
        <v>2643</v>
      </c>
    </row>
    <row r="1348" spans="2:33" ht="14.4" hidden="1" thickBot="1">
      <c r="B1348" s="125" t="s">
        <v>2632</v>
      </c>
    </row>
    <row r="1349" spans="2:33" ht="14.4" hidden="1" thickBot="1">
      <c r="B1349" s="709" t="str">
        <f>IF(E555=B1350,B1350,IF(E555=B1351,B1351,IF(E555=B1352,B1352,IF(E555=B1353,B1353,IF(E555=B1354,B1354,"")))))</f>
        <v/>
      </c>
      <c r="C1349" s="671"/>
      <c r="D1349" s="671"/>
      <c r="E1349" s="671"/>
      <c r="F1349" s="672"/>
      <c r="G1349" s="566" t="str">
        <f>IF(E555=B1350,-1,IF(E555=B1351,-0.5,IF(E555=B1352,0,IF(E555=B1353,0.5,IF(E555=B1354,1,"")))))</f>
        <v/>
      </c>
      <c r="H1349" s="2">
        <f>IF(G1349="",1,0)</f>
        <v>1</v>
      </c>
    </row>
    <row r="1350" spans="2:33" ht="14.4" hidden="1">
      <c r="B1350" s="194" t="s">
        <v>2644</v>
      </c>
      <c r="AF1350"/>
    </row>
    <row r="1351" spans="2:33" hidden="1">
      <c r="B1351" s="194" t="s">
        <v>2645</v>
      </c>
    </row>
    <row r="1352" spans="2:33" ht="14.4" hidden="1">
      <c r="B1352" s="194" t="s">
        <v>2646</v>
      </c>
      <c r="AG1352"/>
    </row>
    <row r="1353" spans="2:33" ht="14.4" hidden="1">
      <c r="B1353" s="194" t="s">
        <v>2647</v>
      </c>
      <c r="AG1353"/>
    </row>
    <row r="1354" spans="2:33" ht="14.4" hidden="1">
      <c r="B1354" s="194" t="s">
        <v>2648</v>
      </c>
      <c r="AG1354"/>
    </row>
    <row r="1355" spans="2:33" ht="15" hidden="1" thickBot="1">
      <c r="B1355" s="125" t="s">
        <v>2633</v>
      </c>
      <c r="Y1355"/>
    </row>
    <row r="1356" spans="2:33" ht="15" hidden="1" thickBot="1">
      <c r="B1356" s="709" t="str">
        <f>IF(E557=B1357,B1357,IF(E557=B1358,B1358,IF(E557=B1359,B1359,IF(E557=B1360,B1360,IF(E557=B1361,B1361,"")))))</f>
        <v/>
      </c>
      <c r="C1356" s="671"/>
      <c r="D1356" s="671"/>
      <c r="E1356" s="671"/>
      <c r="F1356" s="672"/>
      <c r="G1356" s="566" t="str">
        <f>IF(E557=B1357,-1,IF(E557=B1358,-0.5,IF(E557=B1359,0,IF(E557=B1360,0.5,IF(E557=B1361,1,"")))))</f>
        <v/>
      </c>
      <c r="H1356" s="2">
        <f>IF(G1356="",1,0)</f>
        <v>1</v>
      </c>
      <c r="AG1356"/>
    </row>
    <row r="1357" spans="2:33" hidden="1">
      <c r="B1357" s="194" t="s">
        <v>2649</v>
      </c>
    </row>
    <row r="1358" spans="2:33" hidden="1">
      <c r="B1358" s="194" t="s">
        <v>2650</v>
      </c>
    </row>
    <row r="1359" spans="2:33" hidden="1">
      <c r="B1359" s="194" t="s">
        <v>2651</v>
      </c>
    </row>
    <row r="1360" spans="2:33" hidden="1">
      <c r="B1360" s="194" t="s">
        <v>2652</v>
      </c>
    </row>
    <row r="1361" spans="2:8" hidden="1">
      <c r="B1361" s="194" t="s">
        <v>2653</v>
      </c>
    </row>
    <row r="1362" spans="2:8" ht="14.4" hidden="1" thickBot="1">
      <c r="B1362" s="125" t="s">
        <v>2634</v>
      </c>
    </row>
    <row r="1363" spans="2:8" ht="14.4" hidden="1" thickBot="1">
      <c r="B1363" s="709" t="str">
        <f>IF(E559=B1364,B1364,IF(E559=B1365,B1365,IF(E559=B1366,B1366,IF(E559=B1367,B1367,IF(E559=B1368,B1368,"")))))</f>
        <v/>
      </c>
      <c r="C1363" s="671"/>
      <c r="D1363" s="671"/>
      <c r="E1363" s="671"/>
      <c r="F1363" s="672"/>
      <c r="G1363" s="566" t="str">
        <f>IF(E559=B1364,-1,IF(E559=B1365,0,IF(E559=B1366,1,IF(E559=B1367,0,IF(E559=B1368,-1,"")))))</f>
        <v/>
      </c>
      <c r="H1363" s="2">
        <f>IF(G1363="",1,0)</f>
        <v>1</v>
      </c>
    </row>
    <row r="1364" spans="2:8" hidden="1">
      <c r="B1364" s="194" t="s">
        <v>2635</v>
      </c>
    </row>
    <row r="1365" spans="2:8" hidden="1">
      <c r="B1365" s="194" t="s">
        <v>2636</v>
      </c>
    </row>
    <row r="1366" spans="2:8" hidden="1">
      <c r="B1366" s="194" t="s">
        <v>2637</v>
      </c>
    </row>
    <row r="1367" spans="2:8" hidden="1">
      <c r="B1367" s="194" t="s">
        <v>2638</v>
      </c>
    </row>
    <row r="1368" spans="2:8" hidden="1">
      <c r="B1368" s="194" t="s">
        <v>2639</v>
      </c>
    </row>
    <row r="1369" spans="2:8" hidden="1"/>
    <row r="1370" spans="2:8" hidden="1">
      <c r="H1370" s="710">
        <f>AVERAGE(H1335+H1342+H1349+H1356+H1363)</f>
        <v>5</v>
      </c>
    </row>
    <row r="1371" spans="2:8" hidden="1">
      <c r="B1371" s="597" t="str">
        <f>G1335</f>
        <v/>
      </c>
      <c r="C1371" s="597" t="str">
        <f>G1342</f>
        <v/>
      </c>
      <c r="D1371" s="597" t="str">
        <f>G1349</f>
        <v/>
      </c>
      <c r="E1371" s="597" t="str">
        <f>G1356</f>
        <v/>
      </c>
      <c r="F1371" s="597" t="str">
        <f>G1363</f>
        <v/>
      </c>
      <c r="G1371" s="710" t="str">
        <f>IF(H1370&gt;0,"",AVERAGE(B1371:F1371))</f>
        <v/>
      </c>
    </row>
    <row r="1372" spans="2:8" hidden="1"/>
    <row r="1373" spans="2:8" hidden="1"/>
    <row r="1374" spans="2:8" hidden="1"/>
    <row r="1375" spans="2:8" hidden="1"/>
    <row r="1376" spans="2:8" hidden="1"/>
    <row r="1377" spans="1:75" hidden="1">
      <c r="H1377" s="403" t="str">
        <f t="shared" ref="H1377:M1377" si="33">IF($H$115=$B1380,H1380,IF($H$115=$B1381,H1381,IF($H$115=$B1382,H1382,IF($H$115=$B1383,H1383,IF($H$115=$B1384,H1384,IF($H$115=$B1385,H1385,IF($H$115=$B1386,H1386,IF($H$115=$B1387,H1387,IF($H$115=$B1388,H1388,IF($H$115=$B1389,H1389,IF($H$115=$B1390,H1390,IF($H$115=$B1391,H1391,""))))))))))))</f>
        <v/>
      </c>
      <c r="I1377" s="403" t="str">
        <f t="shared" si="33"/>
        <v/>
      </c>
      <c r="J1377" s="403" t="str">
        <f t="shared" si="33"/>
        <v/>
      </c>
      <c r="K1377" s="415" t="str">
        <f t="shared" si="33"/>
        <v/>
      </c>
      <c r="L1377" s="415" t="str">
        <f t="shared" si="33"/>
        <v/>
      </c>
      <c r="M1377" s="415" t="str">
        <f t="shared" si="33"/>
        <v/>
      </c>
      <c r="P1377" s="403" t="str">
        <f t="shared" ref="P1377:AA1377" si="34">IF($H$115=$B1380,P1380,IF($H$115=$B1381,P1381,IF($H$115=$B1382,P1382,IF($H$115=$B1383,P1383,IF($H$115=$B1384,P1384,IF($H$115=$B1385,P1385,IF($H$115=$B1386,P1386,IF($H$115=$B1387,P1387,IF($H$115=$B1388,P1388,IF($H$115=$B1389,P1389,IF($H$115=$B1390,P1390,IF($H$115=$B1391,P1391,""))))))))))))</f>
        <v/>
      </c>
      <c r="Q1377" s="403" t="str">
        <f t="shared" si="34"/>
        <v/>
      </c>
      <c r="R1377" s="403" t="str">
        <f t="shared" si="34"/>
        <v/>
      </c>
      <c r="S1377" s="415" t="str">
        <f t="shared" si="34"/>
        <v/>
      </c>
      <c r="T1377" s="415" t="str">
        <f t="shared" si="34"/>
        <v/>
      </c>
      <c r="U1377" s="415" t="str">
        <f t="shared" si="34"/>
        <v/>
      </c>
      <c r="V1377" s="403" t="str">
        <f t="shared" si="34"/>
        <v/>
      </c>
      <c r="W1377" s="403" t="str">
        <f t="shared" si="34"/>
        <v/>
      </c>
      <c r="X1377" s="403" t="str">
        <f t="shared" si="34"/>
        <v/>
      </c>
      <c r="Y1377" s="415" t="str">
        <f t="shared" si="34"/>
        <v/>
      </c>
      <c r="Z1377" s="415" t="str">
        <f t="shared" si="34"/>
        <v/>
      </c>
      <c r="AA1377" s="415" t="str">
        <f t="shared" si="34"/>
        <v/>
      </c>
      <c r="AD1377" s="403" t="str">
        <f t="shared" ref="AD1377:AI1377" si="35">IF($H$115=$B1380,AD1380,IF($H$115=$B1381,AD1381,IF($H$115=$B1382,AD1382,IF($H$115=$B1383,AD1383,IF($H$115=$B1384,AD1384,IF($H$115=$B1385,AD1385,IF($H$115=$B1386,AD1386,IF($H$115=$B1387,AD1387,IF($H$115=$B1388,AD1388,IF($H$115=$B1389,AD1389,IF($H$115=$B1390,AD1390,IF($H$115=$B1391,AD1391,""))))))))))))</f>
        <v/>
      </c>
      <c r="AE1377" s="403" t="str">
        <f t="shared" si="35"/>
        <v/>
      </c>
      <c r="AF1377" s="403" t="str">
        <f t="shared" si="35"/>
        <v/>
      </c>
      <c r="AG1377" s="415" t="str">
        <f t="shared" si="35"/>
        <v/>
      </c>
      <c r="AH1377" s="415" t="str">
        <f t="shared" si="35"/>
        <v/>
      </c>
      <c r="AI1377" s="415" t="str">
        <f t="shared" si="35"/>
        <v/>
      </c>
    </row>
    <row r="1378" spans="1:75" hidden="1">
      <c r="H1378" s="609" t="s">
        <v>187</v>
      </c>
      <c r="I1378" s="609"/>
      <c r="J1378" s="609"/>
      <c r="K1378" s="610" t="s">
        <v>189</v>
      </c>
      <c r="L1378" s="420"/>
      <c r="M1378" s="420"/>
      <c r="P1378" s="403" t="s">
        <v>187</v>
      </c>
      <c r="Q1378" s="403"/>
      <c r="R1378" s="403"/>
      <c r="S1378" s="415" t="s">
        <v>189</v>
      </c>
      <c r="T1378" s="37"/>
      <c r="U1378" s="37"/>
      <c r="V1378" s="609" t="s">
        <v>187</v>
      </c>
      <c r="W1378" s="609"/>
      <c r="X1378" s="609"/>
      <c r="Y1378" s="610" t="s">
        <v>189</v>
      </c>
      <c r="Z1378" s="420"/>
      <c r="AA1378" s="420"/>
      <c r="AD1378" s="403" t="s">
        <v>187</v>
      </c>
      <c r="AE1378" s="403"/>
      <c r="AF1378" s="403"/>
      <c r="AG1378" s="415" t="s">
        <v>189</v>
      </c>
      <c r="AH1378" s="37"/>
      <c r="AI1378" s="37"/>
      <c r="AJ1378" s="37"/>
      <c r="AK1378" s="37"/>
      <c r="AL1378" s="37"/>
      <c r="AM1378" s="37"/>
      <c r="AN1378" s="37"/>
      <c r="AO1378" s="37"/>
      <c r="AP1378" s="37"/>
      <c r="AQ1378" s="37"/>
      <c r="AR1378" s="37"/>
      <c r="AS1378" s="37"/>
      <c r="AT1378" s="37"/>
      <c r="AU1378" s="37"/>
      <c r="AV1378" s="37"/>
      <c r="AW1378" s="37"/>
      <c r="AX1378" s="37"/>
      <c r="AY1378" s="37"/>
      <c r="AZ1378" s="37"/>
      <c r="BA1378" s="37"/>
      <c r="BB1378" s="37"/>
      <c r="BC1378" s="37"/>
      <c r="BD1378" s="37"/>
      <c r="BE1378" s="37"/>
      <c r="BF1378" s="37"/>
      <c r="BG1378" s="37"/>
      <c r="BH1378" s="37"/>
      <c r="BI1378" s="37"/>
      <c r="BJ1378" s="37"/>
      <c r="BK1378" s="37"/>
      <c r="BL1378" s="37"/>
      <c r="BM1378" s="37"/>
      <c r="BN1378" s="37"/>
      <c r="BO1378" s="37"/>
      <c r="BP1378" s="37"/>
      <c r="BQ1378" s="37"/>
      <c r="BR1378" s="37"/>
      <c r="BS1378" s="37"/>
      <c r="BT1378" s="37"/>
      <c r="BU1378" s="37"/>
      <c r="BV1378" s="37"/>
      <c r="BW1378" s="37"/>
    </row>
    <row r="1379" spans="1:75" hidden="1">
      <c r="H1379" s="611" t="s">
        <v>2109</v>
      </c>
      <c r="I1379" s="611" t="s">
        <v>2110</v>
      </c>
      <c r="J1379" s="611" t="s">
        <v>2111</v>
      </c>
      <c r="K1379" s="612" t="s">
        <v>2109</v>
      </c>
      <c r="L1379" s="612" t="s">
        <v>2110</v>
      </c>
      <c r="M1379" s="612" t="s">
        <v>2111</v>
      </c>
      <c r="P1379" s="611" t="s">
        <v>2112</v>
      </c>
      <c r="Q1379" s="611" t="s">
        <v>2113</v>
      </c>
      <c r="R1379" s="611" t="s">
        <v>2114</v>
      </c>
      <c r="S1379" s="612" t="s">
        <v>2112</v>
      </c>
      <c r="T1379" s="612" t="s">
        <v>2113</v>
      </c>
      <c r="U1379" s="612" t="s">
        <v>2114</v>
      </c>
      <c r="V1379" s="611" t="s">
        <v>2109</v>
      </c>
      <c r="W1379" s="611" t="s">
        <v>2110</v>
      </c>
      <c r="X1379" s="611" t="s">
        <v>2111</v>
      </c>
      <c r="Y1379" s="612" t="s">
        <v>2109</v>
      </c>
      <c r="Z1379" s="612" t="s">
        <v>2110</v>
      </c>
      <c r="AA1379" s="612" t="s">
        <v>2111</v>
      </c>
      <c r="AD1379" s="611" t="s">
        <v>2112</v>
      </c>
      <c r="AE1379" s="611" t="s">
        <v>2113</v>
      </c>
      <c r="AF1379" s="611" t="s">
        <v>2114</v>
      </c>
      <c r="AG1379" s="612" t="s">
        <v>2112</v>
      </c>
      <c r="AH1379" s="612" t="s">
        <v>2113</v>
      </c>
      <c r="AI1379" s="612" t="s">
        <v>2114</v>
      </c>
      <c r="AJ1379" s="37"/>
      <c r="AK1379" s="37"/>
      <c r="AL1379" s="37"/>
      <c r="AM1379" s="37"/>
      <c r="AN1379" s="37"/>
      <c r="AO1379" s="37"/>
      <c r="AP1379" s="37"/>
      <c r="AQ1379" s="37"/>
      <c r="AR1379" s="37"/>
      <c r="AS1379" s="37"/>
      <c r="AT1379" s="37"/>
      <c r="AU1379" s="37"/>
      <c r="AV1379" s="37"/>
      <c r="AW1379" s="37"/>
      <c r="AX1379" s="37"/>
      <c r="AY1379" s="37"/>
      <c r="AZ1379" s="37"/>
      <c r="BA1379" s="37"/>
      <c r="BB1379" s="37"/>
      <c r="BC1379" s="37"/>
      <c r="BD1379" s="37"/>
      <c r="BE1379" s="37"/>
      <c r="BF1379" s="37"/>
      <c r="BG1379" s="37"/>
      <c r="BH1379" s="37"/>
      <c r="BI1379" s="37"/>
      <c r="BJ1379" s="37"/>
      <c r="BK1379" s="37"/>
      <c r="BL1379" s="37"/>
      <c r="BM1379" s="37"/>
      <c r="BN1379" s="37"/>
      <c r="BO1379" s="37"/>
      <c r="BP1379" s="37"/>
      <c r="BQ1379" s="37"/>
      <c r="BR1379" s="37"/>
      <c r="BS1379" s="37"/>
      <c r="BT1379" s="37"/>
      <c r="BU1379" s="37"/>
      <c r="BV1379" s="37"/>
      <c r="BW1379" s="37"/>
    </row>
    <row r="1380" spans="1:75" hidden="1">
      <c r="A1380" s="400">
        <f t="shared" ref="A1380:D1391" si="36">A1303</f>
        <v>1</v>
      </c>
      <c r="B1380" s="2" t="str">
        <f t="shared" si="36"/>
        <v>IMMIGRATION</v>
      </c>
      <c r="C1380" s="2" t="str">
        <f t="shared" si="36"/>
        <v>Immigration</v>
      </c>
      <c r="D1380" s="2" t="str">
        <f t="shared" si="36"/>
        <v>immigration</v>
      </c>
      <c r="H1380" s="2" t="s">
        <v>2118</v>
      </c>
      <c r="I1380" s="2" t="s">
        <v>2119</v>
      </c>
      <c r="J1380" s="2" t="s">
        <v>2120</v>
      </c>
      <c r="K1380" s="2" t="s">
        <v>2121</v>
      </c>
      <c r="L1380" s="2" t="s">
        <v>2122</v>
      </c>
      <c r="M1380" s="2" t="s">
        <v>2123</v>
      </c>
      <c r="P1380" s="2" t="s">
        <v>2115</v>
      </c>
      <c r="Q1380" s="2" t="s">
        <v>2116</v>
      </c>
      <c r="R1380" s="2" t="s">
        <v>2117</v>
      </c>
      <c r="S1380" s="2" t="s">
        <v>2147</v>
      </c>
      <c r="T1380" s="2" t="s">
        <v>2148</v>
      </c>
      <c r="U1380" s="2" t="s">
        <v>2149</v>
      </c>
      <c r="V1380" s="37" t="s">
        <v>2297</v>
      </c>
      <c r="W1380" s="37" t="s">
        <v>2298</v>
      </c>
      <c r="X1380" s="37" t="s">
        <v>2299</v>
      </c>
      <c r="Y1380" s="37" t="s">
        <v>2300</v>
      </c>
      <c r="Z1380" s="37" t="s">
        <v>2301</v>
      </c>
      <c r="AA1380" s="37" t="s">
        <v>2302</v>
      </c>
      <c r="AB1380" s="37"/>
      <c r="AC1380" s="37"/>
      <c r="AD1380" s="37" t="s">
        <v>2303</v>
      </c>
      <c r="AE1380" s="37" t="s">
        <v>2304</v>
      </c>
      <c r="AF1380" s="37" t="s">
        <v>2305</v>
      </c>
      <c r="AG1380" s="37" t="s">
        <v>2306</v>
      </c>
      <c r="AH1380" s="37" t="s">
        <v>2307</v>
      </c>
      <c r="AI1380" s="37" t="s">
        <v>2308</v>
      </c>
    </row>
    <row r="1381" spans="1:75" hidden="1">
      <c r="A1381" s="400">
        <f t="shared" si="36"/>
        <v>2</v>
      </c>
      <c r="B1381" s="2" t="str">
        <f t="shared" si="36"/>
        <v>CLIMATE CHANGE</v>
      </c>
      <c r="C1381" s="2" t="str">
        <f t="shared" si="36"/>
        <v>Climate change</v>
      </c>
      <c r="D1381" s="2" t="str">
        <f t="shared" si="36"/>
        <v>climate change</v>
      </c>
      <c r="H1381" s="2" t="s">
        <v>2135</v>
      </c>
      <c r="I1381" s="2" t="s">
        <v>2136</v>
      </c>
      <c r="J1381" s="2" t="s">
        <v>2137</v>
      </c>
      <c r="K1381" s="2" t="s">
        <v>2138</v>
      </c>
      <c r="L1381" s="2" t="s">
        <v>2139</v>
      </c>
      <c r="M1381" s="2" t="s">
        <v>2140</v>
      </c>
      <c r="P1381" s="2" t="s">
        <v>2141</v>
      </c>
      <c r="Q1381" s="2" t="s">
        <v>2142</v>
      </c>
      <c r="R1381" s="2" t="s">
        <v>2143</v>
      </c>
      <c r="S1381" s="2" t="s">
        <v>2144</v>
      </c>
      <c r="T1381" s="2" t="s">
        <v>2145</v>
      </c>
      <c r="U1381" s="2" t="s">
        <v>2146</v>
      </c>
      <c r="V1381" s="37" t="s">
        <v>2309</v>
      </c>
      <c r="W1381" s="37" t="s">
        <v>2310</v>
      </c>
      <c r="X1381" s="37" t="s">
        <v>2311</v>
      </c>
      <c r="Y1381" s="37" t="s">
        <v>2312</v>
      </c>
      <c r="Z1381" s="37" t="s">
        <v>2313</v>
      </c>
      <c r="AA1381" s="37" t="s">
        <v>2314</v>
      </c>
      <c r="AB1381" s="37"/>
      <c r="AC1381" s="37"/>
      <c r="AD1381" s="37" t="s">
        <v>2315</v>
      </c>
      <c r="AE1381" s="37" t="s">
        <v>2316</v>
      </c>
      <c r="AF1381" s="37" t="s">
        <v>2317</v>
      </c>
      <c r="AG1381" s="37" t="s">
        <v>2318</v>
      </c>
      <c r="AH1381" s="37" t="s">
        <v>2319</v>
      </c>
      <c r="AI1381" s="37" t="s">
        <v>2320</v>
      </c>
    </row>
    <row r="1382" spans="1:75" hidden="1">
      <c r="A1382" s="400">
        <f t="shared" si="36"/>
        <v>3</v>
      </c>
      <c r="B1382" s="2" t="str">
        <f t="shared" si="36"/>
        <v>GUN SAFETY</v>
      </c>
      <c r="C1382" s="2" t="str">
        <f t="shared" si="36"/>
        <v>Gun safety</v>
      </c>
      <c r="D1382" s="2" t="str">
        <f t="shared" si="36"/>
        <v>gun safety</v>
      </c>
      <c r="H1382" s="2" t="s">
        <v>2150</v>
      </c>
      <c r="I1382" s="2" t="s">
        <v>2151</v>
      </c>
      <c r="J1382" s="2" t="s">
        <v>2152</v>
      </c>
      <c r="K1382" s="2" t="s">
        <v>2153</v>
      </c>
      <c r="L1382" s="2" t="s">
        <v>2154</v>
      </c>
      <c r="M1382" s="2" t="s">
        <v>2155</v>
      </c>
      <c r="N1382" s="2" t="s">
        <v>2170</v>
      </c>
      <c r="P1382" s="2" t="s">
        <v>2156</v>
      </c>
      <c r="Q1382" s="2" t="s">
        <v>2157</v>
      </c>
      <c r="R1382" s="2" t="s">
        <v>2158</v>
      </c>
      <c r="S1382" s="2" t="s">
        <v>2159</v>
      </c>
      <c r="T1382" s="2" t="s">
        <v>2160</v>
      </c>
      <c r="U1382" s="2" t="s">
        <v>2161</v>
      </c>
      <c r="V1382" s="37" t="s">
        <v>2321</v>
      </c>
      <c r="W1382" s="37" t="s">
        <v>2322</v>
      </c>
      <c r="X1382" s="37" t="s">
        <v>2323</v>
      </c>
      <c r="Y1382" s="37" t="s">
        <v>2324</v>
      </c>
      <c r="Z1382" s="37" t="s">
        <v>2325</v>
      </c>
      <c r="AA1382" s="37" t="s">
        <v>2326</v>
      </c>
      <c r="AB1382" s="37"/>
      <c r="AC1382" s="37"/>
      <c r="AD1382" s="37" t="s">
        <v>2327</v>
      </c>
      <c r="AE1382" s="37" t="s">
        <v>2328</v>
      </c>
      <c r="AF1382" s="37" t="s">
        <v>2329</v>
      </c>
      <c r="AG1382" s="37" t="s">
        <v>2330</v>
      </c>
      <c r="AH1382" s="37" t="s">
        <v>2331</v>
      </c>
      <c r="AI1382" s="37" t="s">
        <v>2332</v>
      </c>
    </row>
    <row r="1383" spans="1:75" hidden="1">
      <c r="A1383" s="400">
        <f t="shared" si="36"/>
        <v>4</v>
      </c>
      <c r="B1383" s="2" t="str">
        <f t="shared" si="36"/>
        <v>ABORTION</v>
      </c>
      <c r="C1383" s="2" t="str">
        <f t="shared" si="36"/>
        <v>Abortion</v>
      </c>
      <c r="D1383" s="2" t="str">
        <f t="shared" si="36"/>
        <v>abortion</v>
      </c>
      <c r="H1383" s="2" t="s">
        <v>2171</v>
      </c>
      <c r="I1383" s="2" t="s">
        <v>2172</v>
      </c>
      <c r="J1383" s="2" t="s">
        <v>2173</v>
      </c>
      <c r="K1383" s="2" t="s">
        <v>2174</v>
      </c>
      <c r="L1383" s="2" t="s">
        <v>2175</v>
      </c>
      <c r="M1383" s="2" t="s">
        <v>2170</v>
      </c>
      <c r="P1383" s="2" t="s">
        <v>2176</v>
      </c>
      <c r="Q1383" s="2" t="s">
        <v>2177</v>
      </c>
      <c r="R1383" s="2" t="s">
        <v>2178</v>
      </c>
      <c r="S1383" s="2" t="s">
        <v>2179</v>
      </c>
      <c r="T1383" s="2" t="s">
        <v>2180</v>
      </c>
      <c r="U1383" s="2" t="s">
        <v>2181</v>
      </c>
      <c r="V1383" s="37" t="s">
        <v>2162</v>
      </c>
      <c r="W1383" s="37" t="s">
        <v>2163</v>
      </c>
      <c r="X1383" s="37" t="s">
        <v>2164</v>
      </c>
      <c r="Y1383" s="37" t="s">
        <v>2165</v>
      </c>
      <c r="Z1383" s="37" t="s">
        <v>2166</v>
      </c>
      <c r="AA1383" s="37" t="s">
        <v>2167</v>
      </c>
      <c r="AB1383" s="37"/>
      <c r="AC1383" s="37"/>
      <c r="AD1383" s="37" t="s">
        <v>2294</v>
      </c>
      <c r="AE1383" s="37" t="s">
        <v>2168</v>
      </c>
      <c r="AF1383" s="37" t="s">
        <v>2295</v>
      </c>
      <c r="AG1383" s="37" t="s">
        <v>2293</v>
      </c>
      <c r="AH1383" s="37" t="s">
        <v>2169</v>
      </c>
      <c r="AI1383" s="37" t="s">
        <v>2296</v>
      </c>
    </row>
    <row r="1384" spans="1:75" hidden="1">
      <c r="A1384" s="400">
        <f t="shared" si="36"/>
        <v>5</v>
      </c>
      <c r="B1384" s="2" t="str">
        <f t="shared" si="36"/>
        <v>HEALTHCARE</v>
      </c>
      <c r="C1384" s="2" t="str">
        <f t="shared" si="36"/>
        <v>Healthcare</v>
      </c>
      <c r="D1384" s="2" t="str">
        <f t="shared" si="36"/>
        <v>healthcare</v>
      </c>
      <c r="H1384" s="2" t="s">
        <v>2182</v>
      </c>
      <c r="I1384" s="2" t="s">
        <v>2183</v>
      </c>
      <c r="J1384" s="2" t="s">
        <v>2184</v>
      </c>
      <c r="K1384" s="2" t="s">
        <v>2185</v>
      </c>
      <c r="L1384" s="2" t="s">
        <v>2186</v>
      </c>
      <c r="M1384" s="2" t="s">
        <v>2187</v>
      </c>
      <c r="P1384" s="2" t="s">
        <v>2188</v>
      </c>
      <c r="Q1384" s="2" t="s">
        <v>2189</v>
      </c>
      <c r="R1384" s="2" t="s">
        <v>2190</v>
      </c>
      <c r="S1384" s="2" t="s">
        <v>2191</v>
      </c>
      <c r="T1384" s="2" t="s">
        <v>2192</v>
      </c>
      <c r="U1384" s="2" t="s">
        <v>2193</v>
      </c>
      <c r="V1384" s="37" t="s">
        <v>2333</v>
      </c>
      <c r="W1384" s="37" t="s">
        <v>2334</v>
      </c>
      <c r="X1384" s="37" t="s">
        <v>2335</v>
      </c>
      <c r="Y1384" s="37" t="s">
        <v>2336</v>
      </c>
      <c r="Z1384" s="37" t="s">
        <v>2337</v>
      </c>
      <c r="AA1384" s="37" t="s">
        <v>2338</v>
      </c>
      <c r="AB1384" s="37"/>
      <c r="AC1384" s="37"/>
      <c r="AD1384" s="37" t="s">
        <v>2339</v>
      </c>
      <c r="AE1384" s="37" t="s">
        <v>2340</v>
      </c>
      <c r="AF1384" s="37" t="s">
        <v>2341</v>
      </c>
      <c r="AG1384" s="37" t="s">
        <v>2342</v>
      </c>
      <c r="AH1384" s="37" t="s">
        <v>2343</v>
      </c>
      <c r="AI1384" s="37" t="s">
        <v>2344</v>
      </c>
    </row>
    <row r="1385" spans="1:75" hidden="1">
      <c r="A1385" s="400">
        <f t="shared" si="36"/>
        <v>6</v>
      </c>
      <c r="B1385" s="2" t="str">
        <f t="shared" si="36"/>
        <v>CRIMINAL JUSTICE</v>
      </c>
      <c r="C1385" s="2" t="str">
        <f t="shared" si="36"/>
        <v>Criminal justice</v>
      </c>
      <c r="D1385" s="2" t="str">
        <f t="shared" si="36"/>
        <v>criminal justice</v>
      </c>
      <c r="H1385" s="2" t="s">
        <v>2194</v>
      </c>
      <c r="I1385" s="2" t="s">
        <v>2195</v>
      </c>
      <c r="J1385" s="2" t="s">
        <v>2196</v>
      </c>
      <c r="K1385" s="2" t="s">
        <v>2197</v>
      </c>
      <c r="L1385" s="2" t="s">
        <v>2198</v>
      </c>
      <c r="M1385" s="2" t="s">
        <v>2199</v>
      </c>
      <c r="P1385" s="2" t="s">
        <v>2200</v>
      </c>
      <c r="Q1385" s="2" t="s">
        <v>2201</v>
      </c>
      <c r="R1385" s="2" t="s">
        <v>2202</v>
      </c>
      <c r="S1385" s="2" t="s">
        <v>2203</v>
      </c>
      <c r="T1385" s="2" t="s">
        <v>2204</v>
      </c>
      <c r="U1385" s="2" t="s">
        <v>2205</v>
      </c>
      <c r="V1385" s="37" t="s">
        <v>2345</v>
      </c>
      <c r="W1385" s="37" t="s">
        <v>2346</v>
      </c>
      <c r="X1385" s="37" t="s">
        <v>2347</v>
      </c>
      <c r="Y1385" s="37" t="s">
        <v>2348</v>
      </c>
      <c r="Z1385" s="37" t="s">
        <v>2349</v>
      </c>
      <c r="AA1385" s="37" t="s">
        <v>2350</v>
      </c>
      <c r="AB1385" s="37"/>
      <c r="AC1385" s="37"/>
      <c r="AD1385" s="37" t="s">
        <v>2351</v>
      </c>
      <c r="AE1385" s="37" t="s">
        <v>2352</v>
      </c>
      <c r="AF1385" s="37" t="s">
        <v>2353</v>
      </c>
      <c r="AG1385" s="37" t="s">
        <v>2354</v>
      </c>
      <c r="AH1385" s="37" t="s">
        <v>2355</v>
      </c>
      <c r="AI1385" s="37" t="s">
        <v>2356</v>
      </c>
    </row>
    <row r="1386" spans="1:75" hidden="1">
      <c r="A1386" s="400">
        <f t="shared" si="36"/>
        <v>7</v>
      </c>
      <c r="B1386" s="2" t="str">
        <f t="shared" si="36"/>
        <v>ECONOMY</v>
      </c>
      <c r="C1386" s="2" t="str">
        <f t="shared" si="36"/>
        <v>Economy</v>
      </c>
      <c r="D1386" s="2" t="str">
        <f t="shared" si="36"/>
        <v>economic policy</v>
      </c>
      <c r="H1386" s="2" t="s">
        <v>2206</v>
      </c>
      <c r="I1386" s="2" t="s">
        <v>2211</v>
      </c>
      <c r="J1386" s="2" t="s">
        <v>2212</v>
      </c>
      <c r="K1386" s="2" t="s">
        <v>2213</v>
      </c>
      <c r="L1386" s="2" t="s">
        <v>2214</v>
      </c>
      <c r="M1386" s="2" t="s">
        <v>2215</v>
      </c>
      <c r="P1386" s="2" t="s">
        <v>2216</v>
      </c>
      <c r="Q1386" s="2" t="s">
        <v>2217</v>
      </c>
      <c r="R1386" s="2" t="s">
        <v>2218</v>
      </c>
      <c r="S1386" s="2" t="s">
        <v>2219</v>
      </c>
      <c r="T1386" s="2" t="s">
        <v>2220</v>
      </c>
      <c r="U1386" s="2" t="s">
        <v>2221</v>
      </c>
      <c r="V1386" s="37" t="s">
        <v>2207</v>
      </c>
      <c r="W1386" s="37" t="s">
        <v>2208</v>
      </c>
      <c r="X1386" s="37" t="s">
        <v>2357</v>
      </c>
      <c r="Y1386" s="37" t="s">
        <v>2209</v>
      </c>
      <c r="Z1386" s="37" t="s">
        <v>2210</v>
      </c>
      <c r="AA1386" s="37" t="s">
        <v>2358</v>
      </c>
      <c r="AB1386" s="37"/>
      <c r="AC1386" s="37"/>
      <c r="AD1386" s="37" t="s">
        <v>2359</v>
      </c>
      <c r="AE1386" s="37" t="s">
        <v>2360</v>
      </c>
      <c r="AF1386" s="37" t="s">
        <v>2361</v>
      </c>
      <c r="AG1386" s="37" t="s">
        <v>2362</v>
      </c>
      <c r="AH1386" s="37" t="s">
        <v>2363</v>
      </c>
      <c r="AI1386" s="37" t="s">
        <v>2364</v>
      </c>
    </row>
    <row r="1387" spans="1:75" hidden="1">
      <c r="A1387" s="400">
        <f t="shared" si="36"/>
        <v>8</v>
      </c>
      <c r="B1387" s="2" t="str">
        <f t="shared" si="36"/>
        <v>RACISM</v>
      </c>
      <c r="C1387" s="2" t="str">
        <f t="shared" si="36"/>
        <v>Racism</v>
      </c>
      <c r="D1387" s="2" t="str">
        <f t="shared" si="36"/>
        <v>racism</v>
      </c>
      <c r="H1387" s="2" t="s">
        <v>2222</v>
      </c>
      <c r="I1387" s="2" t="s">
        <v>2223</v>
      </c>
      <c r="J1387" s="2" t="s">
        <v>2224</v>
      </c>
      <c r="K1387" s="2" t="s">
        <v>2225</v>
      </c>
      <c r="L1387" s="2" t="s">
        <v>2226</v>
      </c>
      <c r="M1387" s="2" t="s">
        <v>2227</v>
      </c>
      <c r="P1387" s="2" t="s">
        <v>2228</v>
      </c>
      <c r="Q1387" s="2" t="s">
        <v>2229</v>
      </c>
      <c r="R1387" s="2" t="s">
        <v>2230</v>
      </c>
      <c r="S1387" s="2" t="s">
        <v>2231</v>
      </c>
      <c r="T1387" s="2" t="s">
        <v>2232</v>
      </c>
      <c r="U1387" s="2" t="s">
        <v>2233</v>
      </c>
      <c r="V1387" s="37" t="s">
        <v>2365</v>
      </c>
      <c r="W1387" s="37" t="s">
        <v>2366</v>
      </c>
      <c r="X1387" s="37" t="s">
        <v>2367</v>
      </c>
      <c r="Y1387" s="37" t="s">
        <v>2368</v>
      </c>
      <c r="Z1387" s="37" t="s">
        <v>2369</v>
      </c>
      <c r="AA1387" s="37" t="s">
        <v>2370</v>
      </c>
      <c r="AB1387" s="37"/>
      <c r="AC1387" s="37"/>
      <c r="AD1387" s="37" t="s">
        <v>2371</v>
      </c>
      <c r="AE1387" s="37" t="s">
        <v>2372</v>
      </c>
      <c r="AF1387" s="37" t="s">
        <v>2373</v>
      </c>
      <c r="AG1387" s="37" t="s">
        <v>2374</v>
      </c>
      <c r="AH1387" s="37" t="s">
        <v>2375</v>
      </c>
      <c r="AI1387" s="37" t="s">
        <v>2376</v>
      </c>
    </row>
    <row r="1388" spans="1:75" hidden="1">
      <c r="A1388" s="400">
        <f t="shared" si="36"/>
        <v>9</v>
      </c>
      <c r="B1388" s="2" t="str">
        <f t="shared" si="36"/>
        <v>POLICE BRUTALITY</v>
      </c>
      <c r="C1388" s="2" t="str">
        <f t="shared" si="36"/>
        <v>Police brutality</v>
      </c>
      <c r="D1388" s="2" t="str">
        <f t="shared" si="36"/>
        <v>police brutality</v>
      </c>
      <c r="H1388" s="2" t="s">
        <v>2234</v>
      </c>
      <c r="I1388" s="2" t="s">
        <v>2235</v>
      </c>
      <c r="J1388" s="2" t="s">
        <v>2236</v>
      </c>
      <c r="K1388" s="2" t="s">
        <v>2237</v>
      </c>
      <c r="L1388" s="2" t="s">
        <v>2238</v>
      </c>
      <c r="M1388" s="2" t="s">
        <v>2239</v>
      </c>
      <c r="P1388" s="2" t="s">
        <v>2240</v>
      </c>
      <c r="Q1388" s="2" t="s">
        <v>2241</v>
      </c>
      <c r="R1388" s="2" t="s">
        <v>2242</v>
      </c>
      <c r="S1388" s="2" t="s">
        <v>2410</v>
      </c>
      <c r="T1388" s="2" t="s">
        <v>2243</v>
      </c>
      <c r="U1388" s="2" t="s">
        <v>2244</v>
      </c>
      <c r="V1388" s="37" t="s">
        <v>2377</v>
      </c>
      <c r="W1388" s="37" t="s">
        <v>2310</v>
      </c>
      <c r="X1388" s="37" t="s">
        <v>2378</v>
      </c>
      <c r="Y1388" s="37" t="s">
        <v>2379</v>
      </c>
      <c r="Z1388" s="37" t="s">
        <v>2380</v>
      </c>
      <c r="AA1388" s="37" t="s">
        <v>2381</v>
      </c>
      <c r="AB1388" s="37"/>
      <c r="AC1388" s="37"/>
      <c r="AD1388" s="37" t="s">
        <v>2382</v>
      </c>
      <c r="AE1388" s="37" t="s">
        <v>2383</v>
      </c>
      <c r="AF1388" s="37" t="s">
        <v>2384</v>
      </c>
      <c r="AG1388" s="37" t="s">
        <v>2385</v>
      </c>
      <c r="AH1388" s="37" t="s">
        <v>2386</v>
      </c>
      <c r="AI1388" s="37" t="s">
        <v>2387</v>
      </c>
    </row>
    <row r="1389" spans="1:75" hidden="1">
      <c r="A1389" s="400">
        <f t="shared" si="36"/>
        <v>10</v>
      </c>
      <c r="B1389" s="2" t="str">
        <f t="shared" si="36"/>
        <v>VOTING FAIRNESS</v>
      </c>
      <c r="C1389" s="2" t="str">
        <f t="shared" si="36"/>
        <v>Voting fairness</v>
      </c>
      <c r="D1389" s="2" t="str">
        <f t="shared" si="36"/>
        <v>voting fairness</v>
      </c>
      <c r="H1389" s="2" t="s">
        <v>2245</v>
      </c>
      <c r="I1389" s="2" t="s">
        <v>2246</v>
      </c>
      <c r="J1389" s="2" t="s">
        <v>2247</v>
      </c>
      <c r="K1389" s="2" t="s">
        <v>2248</v>
      </c>
      <c r="L1389" s="2" t="s">
        <v>2249</v>
      </c>
      <c r="M1389" s="2" t="s">
        <v>2250</v>
      </c>
      <c r="P1389" s="2" t="s">
        <v>2251</v>
      </c>
      <c r="Q1389" s="2" t="s">
        <v>2252</v>
      </c>
      <c r="R1389" s="2" t="s">
        <v>2253</v>
      </c>
      <c r="S1389" s="2" t="s">
        <v>2254</v>
      </c>
      <c r="T1389" s="2" t="s">
        <v>2255</v>
      </c>
      <c r="U1389" s="2" t="s">
        <v>2256</v>
      </c>
      <c r="V1389" s="37" t="s">
        <v>2388</v>
      </c>
      <c r="W1389" s="37" t="s">
        <v>2389</v>
      </c>
      <c r="X1389" s="37" t="s">
        <v>2390</v>
      </c>
      <c r="Y1389" s="37" t="s">
        <v>2391</v>
      </c>
      <c r="Z1389" s="37" t="s">
        <v>2392</v>
      </c>
      <c r="AA1389" s="37" t="s">
        <v>2390</v>
      </c>
      <c r="AB1389" s="37"/>
      <c r="AC1389" s="37"/>
      <c r="AD1389" s="37" t="s">
        <v>2393</v>
      </c>
      <c r="AE1389" s="37" t="s">
        <v>2394</v>
      </c>
      <c r="AF1389" s="37" t="s">
        <v>2395</v>
      </c>
      <c r="AG1389" s="37" t="s">
        <v>2396</v>
      </c>
      <c r="AH1389" s="37" t="s">
        <v>2397</v>
      </c>
      <c r="AI1389" s="37" t="s">
        <v>2398</v>
      </c>
    </row>
    <row r="1390" spans="1:75" hidden="1">
      <c r="A1390" s="400">
        <f t="shared" si="36"/>
        <v>11</v>
      </c>
      <c r="B1390" s="2" t="str">
        <f t="shared" si="36"/>
        <v>COVID SAFETY</v>
      </c>
      <c r="C1390" s="2" t="str">
        <f t="shared" si="36"/>
        <v>Covid safety</v>
      </c>
      <c r="D1390" s="2" t="str">
        <f t="shared" si="36"/>
        <v>covid safety</v>
      </c>
      <c r="H1390" s="2" t="s">
        <v>2257</v>
      </c>
      <c r="I1390" s="2" t="s">
        <v>2258</v>
      </c>
      <c r="J1390" s="2" t="s">
        <v>2259</v>
      </c>
      <c r="K1390" s="2" t="s">
        <v>2260</v>
      </c>
      <c r="L1390" s="2" t="s">
        <v>2261</v>
      </c>
      <c r="M1390" s="2" t="s">
        <v>2262</v>
      </c>
      <c r="P1390" s="2" t="s">
        <v>2263</v>
      </c>
      <c r="Q1390" s="2" t="s">
        <v>2264</v>
      </c>
      <c r="R1390" s="2" t="s">
        <v>2265</v>
      </c>
      <c r="S1390" s="2" t="s">
        <v>2266</v>
      </c>
      <c r="T1390" s="2" t="s">
        <v>2267</v>
      </c>
      <c r="U1390" s="2" t="s">
        <v>2268</v>
      </c>
      <c r="V1390" s="37" t="s">
        <v>2399</v>
      </c>
      <c r="W1390" s="37" t="s">
        <v>2400</v>
      </c>
      <c r="X1390" s="37" t="s">
        <v>2401</v>
      </c>
      <c r="Y1390" s="37" t="s">
        <v>2402</v>
      </c>
      <c r="Z1390" s="37" t="s">
        <v>2403</v>
      </c>
      <c r="AA1390" s="37" t="s">
        <v>2314</v>
      </c>
      <c r="AB1390" s="37"/>
      <c r="AC1390" s="37"/>
      <c r="AD1390" s="37" t="s">
        <v>2404</v>
      </c>
      <c r="AE1390" s="37" t="s">
        <v>2405</v>
      </c>
      <c r="AF1390" s="37" t="s">
        <v>2406</v>
      </c>
      <c r="AG1390" s="37" t="s">
        <v>2407</v>
      </c>
      <c r="AH1390" s="37" t="s">
        <v>2408</v>
      </c>
      <c r="AI1390" s="37" t="s">
        <v>2409</v>
      </c>
    </row>
    <row r="1391" spans="1:75" hidden="1">
      <c r="A1391" s="400">
        <f t="shared" si="36"/>
        <v>12</v>
      </c>
      <c r="B1391" s="2" t="str">
        <f t="shared" si="36"/>
        <v>PUBLIC SPEECH</v>
      </c>
      <c r="C1391" s="2" t="str">
        <f t="shared" si="36"/>
        <v>Public speech</v>
      </c>
      <c r="D1391" s="2" t="str">
        <f t="shared" si="36"/>
        <v>public speech</v>
      </c>
      <c r="H1391" s="2" t="s">
        <v>2269</v>
      </c>
      <c r="I1391" s="2" t="s">
        <v>2270</v>
      </c>
      <c r="J1391" s="2" t="s">
        <v>2271</v>
      </c>
      <c r="K1391" s="2" t="s">
        <v>2272</v>
      </c>
      <c r="L1391" s="2" t="s">
        <v>2273</v>
      </c>
      <c r="M1391" s="2" t="s">
        <v>2274</v>
      </c>
      <c r="P1391" s="2" t="s">
        <v>2275</v>
      </c>
      <c r="Q1391" s="2" t="s">
        <v>2276</v>
      </c>
      <c r="R1391" s="2" t="s">
        <v>2277</v>
      </c>
      <c r="S1391" s="2" t="s">
        <v>2278</v>
      </c>
      <c r="T1391" s="2" t="s">
        <v>2279</v>
      </c>
      <c r="U1391" s="2" t="s">
        <v>2280</v>
      </c>
      <c r="V1391" s="37" t="s">
        <v>2281</v>
      </c>
      <c r="W1391" s="37" t="s">
        <v>2282</v>
      </c>
      <c r="X1391" s="37" t="s">
        <v>2283</v>
      </c>
      <c r="Y1391" s="37" t="s">
        <v>2284</v>
      </c>
      <c r="Z1391" s="37" t="s">
        <v>2285</v>
      </c>
      <c r="AA1391" s="37" t="s">
        <v>2286</v>
      </c>
      <c r="AB1391" s="37"/>
      <c r="AC1391" s="37"/>
      <c r="AD1391" s="37" t="s">
        <v>2287</v>
      </c>
      <c r="AE1391" s="37" t="s">
        <v>2288</v>
      </c>
      <c r="AF1391" s="37" t="s">
        <v>2289</v>
      </c>
      <c r="AG1391" s="37" t="s">
        <v>2290</v>
      </c>
      <c r="AH1391" s="37" t="s">
        <v>2291</v>
      </c>
      <c r="AI1391" s="37" t="s">
        <v>2292</v>
      </c>
    </row>
    <row r="1392" spans="1:75" hidden="1">
      <c r="V1392" s="47"/>
    </row>
    <row r="1393" spans="22:22" hidden="1">
      <c r="V1393" s="47"/>
    </row>
    <row r="1394" spans="22:22" hidden="1"/>
    <row r="1395" spans="22:22" hidden="1"/>
    <row r="1396" spans="22:22" hidden="1"/>
    <row r="1397" spans="22:22" hidden="1"/>
    <row r="1398" spans="22:22" hidden="1"/>
    <row r="1399" spans="22:22" hidden="1"/>
  </sheetData>
  <mergeCells count="292">
    <mergeCell ref="B1030:M1033"/>
    <mergeCell ref="I1013:M1013"/>
    <mergeCell ref="G1006:H1006"/>
    <mergeCell ref="B1015:M1017"/>
    <mergeCell ref="B1018:M1020"/>
    <mergeCell ref="B1021:M1023"/>
    <mergeCell ref="B1025:M1026"/>
    <mergeCell ref="B1028:M1029"/>
    <mergeCell ref="B959:L961"/>
    <mergeCell ref="B962:J964"/>
    <mergeCell ref="K962:L962"/>
    <mergeCell ref="B1003:M1005"/>
    <mergeCell ref="D983:J984"/>
    <mergeCell ref="D986:J987"/>
    <mergeCell ref="D989:J990"/>
    <mergeCell ref="D992:J993"/>
    <mergeCell ref="K989:M989"/>
    <mergeCell ref="K992:M992"/>
    <mergeCell ref="K995:M995"/>
    <mergeCell ref="D995:J996"/>
    <mergeCell ref="B909:M910"/>
    <mergeCell ref="B913:M914"/>
    <mergeCell ref="B917:M918"/>
    <mergeCell ref="B921:M922"/>
    <mergeCell ref="B925:M926"/>
    <mergeCell ref="H906:L906"/>
    <mergeCell ref="K952:L952"/>
    <mergeCell ref="K953:L953"/>
    <mergeCell ref="C944:F944"/>
    <mergeCell ref="C945:F945"/>
    <mergeCell ref="C946:F946"/>
    <mergeCell ref="C947:F947"/>
    <mergeCell ref="C948:F948"/>
    <mergeCell ref="C950:F950"/>
    <mergeCell ref="C951:F951"/>
    <mergeCell ref="L937:M937"/>
    <mergeCell ref="L938:M938"/>
    <mergeCell ref="D937:E937"/>
    <mergeCell ref="K944:L944"/>
    <mergeCell ref="K945:L945"/>
    <mergeCell ref="K946:L946"/>
    <mergeCell ref="K947:L947"/>
    <mergeCell ref="K948:L948"/>
    <mergeCell ref="B280:M284"/>
    <mergeCell ref="D230:K236"/>
    <mergeCell ref="B359:G362"/>
    <mergeCell ref="B357:M357"/>
    <mergeCell ref="B364:M364"/>
    <mergeCell ref="D900:F900"/>
    <mergeCell ref="K974:M974"/>
    <mergeCell ref="K977:M977"/>
    <mergeCell ref="B260:M264"/>
    <mergeCell ref="B251:D256"/>
    <mergeCell ref="B294:M298"/>
    <mergeCell ref="B390:M395"/>
    <mergeCell ref="B380:M384"/>
    <mergeCell ref="B317:M323"/>
    <mergeCell ref="B332:M337"/>
    <mergeCell ref="B340:M347"/>
    <mergeCell ref="B244:M249"/>
    <mergeCell ref="H373:M377"/>
    <mergeCell ref="B487:G487"/>
    <mergeCell ref="F629:G629"/>
    <mergeCell ref="H629:I629"/>
    <mergeCell ref="J629:K629"/>
    <mergeCell ref="B398:M403"/>
    <mergeCell ref="K950:L950"/>
    <mergeCell ref="K980:M980"/>
    <mergeCell ref="H904:L904"/>
    <mergeCell ref="H902:L902"/>
    <mergeCell ref="I901:K901"/>
    <mergeCell ref="I903:K903"/>
    <mergeCell ref="I905:K905"/>
    <mergeCell ref="D938:E938"/>
    <mergeCell ref="H937:I937"/>
    <mergeCell ref="H938:I938"/>
    <mergeCell ref="G943:H943"/>
    <mergeCell ref="I943:J943"/>
    <mergeCell ref="F938:G938"/>
    <mergeCell ref="B943:F943"/>
    <mergeCell ref="C952:F952"/>
    <mergeCell ref="C953:F953"/>
    <mergeCell ref="K943:L943"/>
    <mergeCell ref="K949:L949"/>
    <mergeCell ref="K951:L951"/>
    <mergeCell ref="K955:L955"/>
    <mergeCell ref="K956:L956"/>
    <mergeCell ref="K957:L957"/>
    <mergeCell ref="P90:AA90"/>
    <mergeCell ref="B126:M126"/>
    <mergeCell ref="B127:M127"/>
    <mergeCell ref="P312:AA312"/>
    <mergeCell ref="B133:M135"/>
    <mergeCell ref="B481:G481"/>
    <mergeCell ref="H481:M481"/>
    <mergeCell ref="B230:B235"/>
    <mergeCell ref="M230:M235"/>
    <mergeCell ref="B353:M355"/>
    <mergeCell ref="B286:M286"/>
    <mergeCell ref="D412:G416"/>
    <mergeCell ref="H412:K416"/>
    <mergeCell ref="H287:M291"/>
    <mergeCell ref="B325:E328"/>
    <mergeCell ref="J325:M328"/>
    <mergeCell ref="B300:E303"/>
    <mergeCell ref="J300:M303"/>
    <mergeCell ref="B305:E308"/>
    <mergeCell ref="J305:M308"/>
    <mergeCell ref="H153:M157"/>
    <mergeCell ref="B160:M163"/>
    <mergeCell ref="B418:M420"/>
    <mergeCell ref="E266:J266"/>
    <mergeCell ref="H113:M113"/>
    <mergeCell ref="H115:M115"/>
    <mergeCell ref="I118:M118"/>
    <mergeCell ref="P1044:V1044"/>
    <mergeCell ref="B1011:M1011"/>
    <mergeCell ref="H487:M487"/>
    <mergeCell ref="B484:G484"/>
    <mergeCell ref="H484:M484"/>
    <mergeCell ref="B483:G483"/>
    <mergeCell ref="H483:M483"/>
    <mergeCell ref="B485:G485"/>
    <mergeCell ref="H485:M485"/>
    <mergeCell ref="L633:M633"/>
    <mergeCell ref="B634:E634"/>
    <mergeCell ref="F634:G634"/>
    <mergeCell ref="L629:M629"/>
    <mergeCell ref="B631:E631"/>
    <mergeCell ref="F631:G631"/>
    <mergeCell ref="H631:I631"/>
    <mergeCell ref="J631:K631"/>
    <mergeCell ref="L631:M631"/>
    <mergeCell ref="B632:E632"/>
    <mergeCell ref="B266:D266"/>
    <mergeCell ref="B267:M273"/>
    <mergeCell ref="B1072:L1072"/>
    <mergeCell ref="B1073:L1073"/>
    <mergeCell ref="B480:G480"/>
    <mergeCell ref="H480:M480"/>
    <mergeCell ref="B170:M173"/>
    <mergeCell ref="E551:M551"/>
    <mergeCell ref="E553:M553"/>
    <mergeCell ref="E559:M559"/>
    <mergeCell ref="E555:M555"/>
    <mergeCell ref="E557:M557"/>
    <mergeCell ref="B561:M563"/>
    <mergeCell ref="H634:I634"/>
    <mergeCell ref="J634:K634"/>
    <mergeCell ref="K266:M266"/>
    <mergeCell ref="K251:M256"/>
    <mergeCell ref="B287:G291"/>
    <mergeCell ref="B197:M200"/>
    <mergeCell ref="B175:E177"/>
    <mergeCell ref="B178:E180"/>
    <mergeCell ref="J175:M177"/>
    <mergeCell ref="J178:M180"/>
    <mergeCell ref="B189:D191"/>
    <mergeCell ref="K189:M191"/>
    <mergeCell ref="K192:M194"/>
    <mergeCell ref="B146:G149"/>
    <mergeCell ref="H146:M149"/>
    <mergeCell ref="B151:M151"/>
    <mergeCell ref="B152:G152"/>
    <mergeCell ref="H152:M152"/>
    <mergeCell ref="B153:G157"/>
    <mergeCell ref="B192:D194"/>
    <mergeCell ref="B184:M187"/>
    <mergeCell ref="I123:M123"/>
    <mergeCell ref="I124:M124"/>
    <mergeCell ref="I125:M125"/>
    <mergeCell ref="B137:M137"/>
    <mergeCell ref="B138:G138"/>
    <mergeCell ref="H138:M138"/>
    <mergeCell ref="B139:G142"/>
    <mergeCell ref="H139:M142"/>
    <mergeCell ref="B144:M144"/>
    <mergeCell ref="B207:M212"/>
    <mergeCell ref="B223:M227"/>
    <mergeCell ref="C214:F219"/>
    <mergeCell ref="P1:V1"/>
    <mergeCell ref="P3:V3"/>
    <mergeCell ref="P5:V5"/>
    <mergeCell ref="P7:V7"/>
    <mergeCell ref="P10:V10"/>
    <mergeCell ref="P12:V12"/>
    <mergeCell ref="P55:V55"/>
    <mergeCell ref="C49:H49"/>
    <mergeCell ref="C50:H50"/>
    <mergeCell ref="B20:M20"/>
    <mergeCell ref="B21:M21"/>
    <mergeCell ref="I120:M120"/>
    <mergeCell ref="I121:M121"/>
    <mergeCell ref="I122:M122"/>
    <mergeCell ref="I119:M119"/>
    <mergeCell ref="C51:H51"/>
    <mergeCell ref="C52:H52"/>
    <mergeCell ref="C43:H43"/>
    <mergeCell ref="C44:H44"/>
    <mergeCell ref="B145:G145"/>
    <mergeCell ref="H145:M145"/>
    <mergeCell ref="F632:G632"/>
    <mergeCell ref="H632:I632"/>
    <mergeCell ref="J632:K632"/>
    <mergeCell ref="L632:M632"/>
    <mergeCell ref="AK629:AL629"/>
    <mergeCell ref="B630:E630"/>
    <mergeCell ref="F630:G630"/>
    <mergeCell ref="H630:I630"/>
    <mergeCell ref="J630:K630"/>
    <mergeCell ref="L630:M630"/>
    <mergeCell ref="D674:E674"/>
    <mergeCell ref="D665:E665"/>
    <mergeCell ref="D657:E657"/>
    <mergeCell ref="D644:E644"/>
    <mergeCell ref="D650:E650"/>
    <mergeCell ref="B636:G636"/>
    <mergeCell ref="B633:E633"/>
    <mergeCell ref="F633:G633"/>
    <mergeCell ref="H633:I633"/>
    <mergeCell ref="J633:K633"/>
    <mergeCell ref="L634:M634"/>
    <mergeCell ref="P1026:U1026"/>
    <mergeCell ref="B831:M831"/>
    <mergeCell ref="B835:M835"/>
    <mergeCell ref="B839:M839"/>
    <mergeCell ref="B832:M833"/>
    <mergeCell ref="B836:M837"/>
    <mergeCell ref="B840:M841"/>
    <mergeCell ref="L908:M908"/>
    <mergeCell ref="L912:M912"/>
    <mergeCell ref="L916:M916"/>
    <mergeCell ref="L920:M920"/>
    <mergeCell ref="L924:M924"/>
    <mergeCell ref="J908:K908"/>
    <mergeCell ref="J912:K912"/>
    <mergeCell ref="J916:K916"/>
    <mergeCell ref="J920:K920"/>
    <mergeCell ref="J924:K924"/>
    <mergeCell ref="K998:M998"/>
    <mergeCell ref="D974:J975"/>
    <mergeCell ref="D998:J999"/>
    <mergeCell ref="D977:J978"/>
    <mergeCell ref="D980:J981"/>
    <mergeCell ref="K983:M983"/>
    <mergeCell ref="K986:M986"/>
    <mergeCell ref="C45:H45"/>
    <mergeCell ref="C46:H46"/>
    <mergeCell ref="B816:M817"/>
    <mergeCell ref="C814:D814"/>
    <mergeCell ref="G814:M814"/>
    <mergeCell ref="D737:G737"/>
    <mergeCell ref="D738:G738"/>
    <mergeCell ref="J737:M737"/>
    <mergeCell ref="J738:M738"/>
    <mergeCell ref="B740:M743"/>
    <mergeCell ref="B744:M747"/>
    <mergeCell ref="B781:I781"/>
    <mergeCell ref="J781:M781"/>
    <mergeCell ref="B371:M371"/>
    <mergeCell ref="B358:G358"/>
    <mergeCell ref="H358:M358"/>
    <mergeCell ref="B365:G365"/>
    <mergeCell ref="H365:M365"/>
    <mergeCell ref="B372:G372"/>
    <mergeCell ref="H372:M372"/>
    <mergeCell ref="H359:M362"/>
    <mergeCell ref="B366:G369"/>
    <mergeCell ref="H366:M369"/>
    <mergeCell ref="B373:G377"/>
    <mergeCell ref="I214:L219"/>
    <mergeCell ref="C34:J34"/>
    <mergeCell ref="C24:K24"/>
    <mergeCell ref="B90:I90"/>
    <mergeCell ref="C27:J27"/>
    <mergeCell ref="C33:J33"/>
    <mergeCell ref="C28:J28"/>
    <mergeCell ref="C26:J26"/>
    <mergeCell ref="C29:J29"/>
    <mergeCell ref="C30:J30"/>
    <mergeCell ref="C31:J31"/>
    <mergeCell ref="C32:J32"/>
    <mergeCell ref="C48:H48"/>
    <mergeCell ref="C47:H47"/>
    <mergeCell ref="C41:H41"/>
    <mergeCell ref="C35:H35"/>
    <mergeCell ref="C42:H42"/>
    <mergeCell ref="C36:H36"/>
    <mergeCell ref="C38:H38"/>
    <mergeCell ref="C37:H37"/>
    <mergeCell ref="C39:H39"/>
    <mergeCell ref="C40:H40"/>
  </mergeCells>
  <phoneticPr fontId="144" type="noConversion"/>
  <conditionalFormatting sqref="L976:M976 M979 L988:M988 M991 L994:M994 L997:M997 K974">
    <cfRule type="containsText" dxfId="59" priority="73" operator="containsText" text="pro">
      <formula>NOT(ISERROR(SEARCH("pro",K974)))</formula>
    </cfRule>
    <cfRule type="containsText" dxfId="58" priority="74" operator="containsText" text="non">
      <formula>NOT(ISERROR(SEARCH("non",K974)))</formula>
    </cfRule>
    <cfRule type="containsText" dxfId="57" priority="75" operator="containsText" text="anti">
      <formula>NOT(ISERROR(SEARCH("anti",K974)))</formula>
    </cfRule>
  </conditionalFormatting>
  <conditionalFormatting sqref="K977">
    <cfRule type="containsText" dxfId="56" priority="70" operator="containsText" text="pro">
      <formula>NOT(ISERROR(SEARCH("pro",K977)))</formula>
    </cfRule>
    <cfRule type="containsText" dxfId="55" priority="71" operator="containsText" text="non">
      <formula>NOT(ISERROR(SEARCH("non",K977)))</formula>
    </cfRule>
    <cfRule type="containsText" dxfId="54" priority="72" operator="containsText" text="anti">
      <formula>NOT(ISERROR(SEARCH("anti",K977)))</formula>
    </cfRule>
  </conditionalFormatting>
  <conditionalFormatting sqref="K980">
    <cfRule type="containsText" dxfId="53" priority="67" operator="containsText" text="pro">
      <formula>NOT(ISERROR(SEARCH("pro",K980)))</formula>
    </cfRule>
    <cfRule type="containsText" dxfId="52" priority="68" operator="containsText" text="non">
      <formula>NOT(ISERROR(SEARCH("non",K980)))</formula>
    </cfRule>
    <cfRule type="containsText" dxfId="51" priority="69" operator="containsText" text="anti">
      <formula>NOT(ISERROR(SEARCH("anti",K980)))</formula>
    </cfRule>
  </conditionalFormatting>
  <conditionalFormatting sqref="K983">
    <cfRule type="containsText" dxfId="50" priority="64" operator="containsText" text="pro">
      <formula>NOT(ISERROR(SEARCH("pro",K983)))</formula>
    </cfRule>
    <cfRule type="containsText" dxfId="49" priority="65" operator="containsText" text="non">
      <formula>NOT(ISERROR(SEARCH("non",K983)))</formula>
    </cfRule>
    <cfRule type="containsText" dxfId="48" priority="66" operator="containsText" text="anti">
      <formula>NOT(ISERROR(SEARCH("anti",K983)))</formula>
    </cfRule>
  </conditionalFormatting>
  <conditionalFormatting sqref="K986">
    <cfRule type="containsText" dxfId="47" priority="61" operator="containsText" text="pro">
      <formula>NOT(ISERROR(SEARCH("pro",K986)))</formula>
    </cfRule>
    <cfRule type="containsText" dxfId="46" priority="62" operator="containsText" text="non">
      <formula>NOT(ISERROR(SEARCH("non",K986)))</formula>
    </cfRule>
    <cfRule type="containsText" dxfId="45" priority="63" operator="containsText" text="anti">
      <formula>NOT(ISERROR(SEARCH("anti",K986)))</formula>
    </cfRule>
  </conditionalFormatting>
  <conditionalFormatting sqref="K989">
    <cfRule type="containsText" dxfId="44" priority="58" operator="containsText" text="pro">
      <formula>NOT(ISERROR(SEARCH("pro",K989)))</formula>
    </cfRule>
    <cfRule type="containsText" dxfId="43" priority="59" operator="containsText" text="non">
      <formula>NOT(ISERROR(SEARCH("non",K989)))</formula>
    </cfRule>
    <cfRule type="containsText" dxfId="42" priority="60" operator="containsText" text="anti">
      <formula>NOT(ISERROR(SEARCH("anti",K989)))</formula>
    </cfRule>
  </conditionalFormatting>
  <conditionalFormatting sqref="K992">
    <cfRule type="containsText" dxfId="41" priority="55" operator="containsText" text="pro">
      <formula>NOT(ISERROR(SEARCH("pro",K992)))</formula>
    </cfRule>
    <cfRule type="containsText" dxfId="40" priority="56" operator="containsText" text="non">
      <formula>NOT(ISERROR(SEARCH("non",K992)))</formula>
    </cfRule>
    <cfRule type="containsText" dxfId="39" priority="57" operator="containsText" text="anti">
      <formula>NOT(ISERROR(SEARCH("anti",K992)))</formula>
    </cfRule>
  </conditionalFormatting>
  <conditionalFormatting sqref="K995">
    <cfRule type="containsText" dxfId="38" priority="52" operator="containsText" text="pro">
      <formula>NOT(ISERROR(SEARCH("pro",K995)))</formula>
    </cfRule>
    <cfRule type="containsText" dxfId="37" priority="53" operator="containsText" text="non">
      <formula>NOT(ISERROR(SEARCH("non",K995)))</formula>
    </cfRule>
    <cfRule type="containsText" dxfId="36" priority="54" operator="containsText" text="anti">
      <formula>NOT(ISERROR(SEARCH("anti",K995)))</formula>
    </cfRule>
  </conditionalFormatting>
  <conditionalFormatting sqref="K998">
    <cfRule type="containsText" dxfId="35" priority="49" operator="containsText" text="pro">
      <formula>NOT(ISERROR(SEARCH("pro",K998)))</formula>
    </cfRule>
    <cfRule type="containsText" dxfId="34" priority="50" operator="containsText" text="non">
      <formula>NOT(ISERROR(SEARCH("non",K998)))</formula>
    </cfRule>
    <cfRule type="containsText" dxfId="33" priority="51" operator="containsText" text="anti">
      <formula>NOT(ISERROR(SEARCH("anti",K998)))</formula>
    </cfRule>
  </conditionalFormatting>
  <conditionalFormatting sqref="B630">
    <cfRule type="containsText" dxfId="32" priority="48" operator="containsText" text="Name">
      <formula>NOT(ISERROR(SEARCH("Name",B630)))</formula>
    </cfRule>
  </conditionalFormatting>
  <conditionalFormatting sqref="B634">
    <cfRule type="containsText" dxfId="31" priority="44" operator="containsText" text="Name">
      <formula>NOT(ISERROR(SEARCH("Name",B634)))</formula>
    </cfRule>
  </conditionalFormatting>
  <conditionalFormatting sqref="B631">
    <cfRule type="containsText" dxfId="30" priority="47" operator="containsText" text="Name">
      <formula>NOT(ISERROR(SEARCH("Name",B631)))</formula>
    </cfRule>
  </conditionalFormatting>
  <conditionalFormatting sqref="B632">
    <cfRule type="containsText" dxfId="29" priority="46" operator="containsText" text="Name">
      <formula>NOT(ISERROR(SEARCH("Name",B632)))</formula>
    </cfRule>
  </conditionalFormatting>
  <conditionalFormatting sqref="B633">
    <cfRule type="containsText" dxfId="28" priority="45" operator="containsText" text="Name">
      <formula>NOT(ISERROR(SEARCH("Name",B633)))</formula>
    </cfRule>
  </conditionalFormatting>
  <conditionalFormatting sqref="A630:A634">
    <cfRule type="containsText" dxfId="27" priority="41" operator="containsText" text="s">
      <formula>NOT(ISERROR(SEARCH("s",A630)))</formula>
    </cfRule>
    <cfRule type="containsText" dxfId="26" priority="42" operator="containsText" text="q">
      <formula>NOT(ISERROR(SEARCH("q",A630)))</formula>
    </cfRule>
    <cfRule type="containsText" dxfId="25" priority="43" operator="containsText" text="u">
      <formula>NOT(ISERROR(SEARCH("u",A630)))</formula>
    </cfRule>
  </conditionalFormatting>
  <conditionalFormatting sqref="B739:M739 H737:H738 B740 B737:B738">
    <cfRule type="containsText" dxfId="24" priority="34" operator="containsText" text="white fields">
      <formula>NOT(ISERROR(SEARCH("white fields",B737)))</formula>
    </cfRule>
  </conditionalFormatting>
  <conditionalFormatting sqref="D738">
    <cfRule type="containsText" dxfId="23" priority="33" operator="containsText" text="Select an option from the white field above to see a sample progress update here. ">
      <formula>NOT(ISERROR(SEARCH("Select an option from the white field above to see a sample progress update here. ",D738)))</formula>
    </cfRule>
  </conditionalFormatting>
  <conditionalFormatting sqref="J738">
    <cfRule type="containsText" dxfId="22" priority="31" operator="containsText" text="Select an option from the white field above to see a sample progress update here. ">
      <formula>NOT(ISERROR(SEARCH("Select an option from the white field above to see a sample progress update here. ",J738)))</formula>
    </cfRule>
  </conditionalFormatting>
  <conditionalFormatting sqref="D737">
    <cfRule type="containsText" dxfId="21" priority="29" operator="containsText" text="Select an option from the white field above to see a sample progress update here. ">
      <formula>NOT(ISERROR(SEARCH("Select an option from the white field above to see a sample progress update here. ",D737)))</formula>
    </cfRule>
  </conditionalFormatting>
  <conditionalFormatting sqref="B740:M743">
    <cfRule type="containsText" dxfId="20" priority="28" operator="containsText" text="This week,">
      <formula>NOT(ISERROR(SEARCH("This week,",B740)))</formula>
    </cfRule>
  </conditionalFormatting>
  <conditionalFormatting sqref="B744:M747">
    <cfRule type="containsText" dxfId="19" priority="26" operator="containsText" text="Beck">
      <formula>NOT(ISERROR(SEARCH("Beck",B744)))</formula>
    </cfRule>
    <cfRule type="containsText" dxfId="18" priority="27" operator="containsText" text="As for anxiety,">
      <formula>NOT(ISERROR(SEARCH("As for anxiety,",B744)))</formula>
    </cfRule>
  </conditionalFormatting>
  <conditionalFormatting sqref="J737">
    <cfRule type="containsText" dxfId="17" priority="25" operator="containsText" text="Select an option from the white field above to see a sample progress update here. ">
      <formula>NOT(ISERROR(SEARCH("Select an option from the white field above to see a sample progress update here. ",J737)))</formula>
    </cfRule>
  </conditionalFormatting>
  <conditionalFormatting sqref="B816:M817">
    <cfRule type="containsText" dxfId="16" priority="24" operator="containsText" text="white field">
      <formula>NOT(ISERROR(SEARCH("white field",B816)))</formula>
    </cfRule>
  </conditionalFormatting>
  <conditionalFormatting sqref="K644">
    <cfRule type="cellIs" dxfId="15" priority="15" operator="greaterThan">
      <formula>0</formula>
    </cfRule>
    <cfRule type="cellIs" dxfId="14" priority="23" operator="equal">
      <formula>0</formula>
    </cfRule>
  </conditionalFormatting>
  <conditionalFormatting sqref="K650">
    <cfRule type="cellIs" dxfId="13" priority="13" operator="greaterThan">
      <formula>0</formula>
    </cfRule>
    <cfRule type="cellIs" dxfId="12" priority="14" operator="equal">
      <formula>0</formula>
    </cfRule>
  </conditionalFormatting>
  <conditionalFormatting sqref="K656">
    <cfRule type="cellIs" dxfId="11" priority="11" operator="greaterThan">
      <formula>0</formula>
    </cfRule>
    <cfRule type="cellIs" dxfId="10" priority="12" operator="equal">
      <formula>0</formula>
    </cfRule>
  </conditionalFormatting>
  <conditionalFormatting sqref="K663">
    <cfRule type="cellIs" dxfId="9" priority="9" operator="greaterThan">
      <formula>0</formula>
    </cfRule>
    <cfRule type="cellIs" dxfId="8" priority="10" operator="equal">
      <formula>0</formula>
    </cfRule>
  </conditionalFormatting>
  <conditionalFormatting sqref="K671">
    <cfRule type="cellIs" dxfId="7" priority="7" operator="greaterThan">
      <formula>0</formula>
    </cfRule>
    <cfRule type="cellIs" dxfId="6" priority="8" operator="equal">
      <formula>0</formula>
    </cfRule>
  </conditionalFormatting>
  <conditionalFormatting sqref="H937:I937">
    <cfRule type="cellIs" dxfId="5" priority="6" operator="equal">
      <formula>$AJ$937</formula>
    </cfRule>
  </conditionalFormatting>
  <dataValidations count="57">
    <dataValidation type="list" errorStyle="information" allowBlank="1" showInputMessage="1" showErrorMessage="1" sqref="I125:M125" xr:uid="{7D45E136-3A10-4CE6-B131-E575B83DB9FA}">
      <formula1>$AK$124:$AK$125</formula1>
    </dataValidation>
    <dataValidation type="list" errorStyle="information" allowBlank="1" showInputMessage="1" showErrorMessage="1" sqref="I124:M124" xr:uid="{BC966B38-0588-4394-AABC-CDD01E8DADAD}">
      <formula1>$AK$122:$AK$123</formula1>
    </dataValidation>
    <dataValidation type="list" errorStyle="information" allowBlank="1" showInputMessage="1" showErrorMessage="1" sqref="I123:M123" xr:uid="{C12DD3CB-EDD2-4478-B035-FB0A34C38870}">
      <formula1>$AK$120:$AK$121</formula1>
    </dataValidation>
    <dataValidation type="list" errorStyle="information" allowBlank="1" showInputMessage="1" showErrorMessage="1" sqref="I122:M122" xr:uid="{92927930-50B4-4AAB-A36C-F8B533B01A72}">
      <formula1>$AK$118:$AK$119</formula1>
    </dataValidation>
    <dataValidation type="list" errorStyle="information" allowBlank="1" showInputMessage="1" showErrorMessage="1" sqref="I121:M121" xr:uid="{9B28B0E3-DCE5-446A-B4E7-237C3EE0AC88}">
      <formula1>$AK$116:$AK$117</formula1>
    </dataValidation>
    <dataValidation type="list" errorStyle="information" allowBlank="1" showInputMessage="1" showErrorMessage="1" sqref="I120:M120" xr:uid="{744908EE-D458-4FEA-B5E2-CDFE7472F612}">
      <formula1>$AK$114:$AK$115</formula1>
    </dataValidation>
    <dataValidation type="list" errorStyle="information" allowBlank="1" showInputMessage="1" showErrorMessage="1" sqref="I119:M119" xr:uid="{841098D3-824B-4423-85C0-8947DB7916A8}">
      <formula1>$AK$112:$AK$113</formula1>
    </dataValidation>
    <dataValidation type="list" errorStyle="information" allowBlank="1" showInputMessage="1" showErrorMessage="1" sqref="I118:M118" xr:uid="{36B282D0-E6B5-4A82-B4F5-3F00CCCFDDA0}">
      <formula1>$AK$110:$AK$111</formula1>
    </dataValidation>
    <dataValidation type="list" errorStyle="warning" allowBlank="1" showInputMessage="1" showErrorMessage="1" sqref="G556:M556" xr:uid="{5F668BCB-1016-44DE-B94B-F1EA024E8A7A}">
      <formula1>$B$1350:$B$1352</formula1>
    </dataValidation>
    <dataValidation type="list" errorStyle="warning" allowBlank="1" showInputMessage="1" showErrorMessage="1" sqref="E553:M553" xr:uid="{F16D5BE7-C2F6-47C0-848F-0ADD1A5E1DB9}">
      <formula1>$B$1343:$B$1347</formula1>
    </dataValidation>
    <dataValidation type="list" errorStyle="warning" allowBlank="1" showInputMessage="1" showErrorMessage="1" sqref="H115:M115" xr:uid="{E3C8EB81-11D3-4AC8-A6BE-F98E291B3A47}">
      <formula1>$B$1303:$B$1314</formula1>
    </dataValidation>
    <dataValidation type="list" errorStyle="warning" allowBlank="1" showInputMessage="1" showErrorMessage="1" sqref="H113:M113" xr:uid="{AEE10971-9283-44AB-AC8D-15EB4354BA6F}">
      <formula1>$B$1276:$B$1293</formula1>
    </dataValidation>
    <dataValidation type="list" errorStyle="information" allowBlank="1" showInputMessage="1" showErrorMessage="1" sqref="E551:M551" xr:uid="{A0713843-F7FF-480F-8E13-69F890FD2E2A}">
      <formula1>$B$1336:$B$1340</formula1>
    </dataValidation>
    <dataValidation type="list" errorStyle="information" allowBlank="1" showInputMessage="1" showErrorMessage="1" sqref="E559:M559" xr:uid="{65178033-B784-4A77-BF39-6D121835DACD}">
      <formula1>$B$1364:$B$1368</formula1>
    </dataValidation>
    <dataValidation type="list" errorStyle="warning" allowBlank="1" showInputMessage="1" showErrorMessage="1" sqref="E555:M555" xr:uid="{56779B2A-3B5E-4A6C-A10E-D72B77D6339D}">
      <formula1>$B$1350:$B$1354</formula1>
    </dataValidation>
    <dataValidation type="list" errorStyle="warning" allowBlank="1" showInputMessage="1" showErrorMessage="1" sqref="E557:M557" xr:uid="{1C292B3C-9EA0-4CD9-8A98-0D00C340E0CF}">
      <formula1>$B$1357:$B$1361</formula1>
    </dataValidation>
    <dataValidation type="list" errorStyle="information" allowBlank="1" showInputMessage="1" showErrorMessage="1" sqref="D974:J975" xr:uid="{A4E04335-D386-4586-83F9-192117D48EF4}">
      <formula1>$AK$974:$AK$976</formula1>
    </dataValidation>
    <dataValidation type="list" errorStyle="information" allowBlank="1" showInputMessage="1" showErrorMessage="1" sqref="D977:J978" xr:uid="{255ECD18-2000-402B-9157-1AD7CA6222A6}">
      <formula1>$AK$977:$AK$979</formula1>
    </dataValidation>
    <dataValidation type="list" errorStyle="information" allowBlank="1" showInputMessage="1" showErrorMessage="1" sqref="D980:J981" xr:uid="{EED5A4B8-45C5-41D1-944E-D5AA190486CB}">
      <formula1>$AK$980:$AK$982</formula1>
    </dataValidation>
    <dataValidation type="list" errorStyle="information" allowBlank="1" showInputMessage="1" showErrorMessage="1" sqref="D983:J984" xr:uid="{7DEC4956-37F1-4C10-A2FA-4B4A2D0BEA39}">
      <formula1>$AK$983:$AK$985</formula1>
    </dataValidation>
    <dataValidation type="list" errorStyle="information" allowBlank="1" showInputMessage="1" showErrorMessage="1" sqref="D986:J987" xr:uid="{F17B1278-0F3F-4126-AFC0-87ABC9F13BC7}">
      <formula1>$AK$986:$AK$988</formula1>
    </dataValidation>
    <dataValidation type="list" errorStyle="information" allowBlank="1" showInputMessage="1" showErrorMessage="1" sqref="D989:J990" xr:uid="{C759A6C3-A707-4BB2-8EF5-CB3C8DB37811}">
      <formula1>$AK$989:$AK$991</formula1>
    </dataValidation>
    <dataValidation type="list" errorStyle="information" allowBlank="1" showInputMessage="1" showErrorMessage="1" sqref="D992:J993" xr:uid="{6080B3DB-5953-4BDF-89EF-6E9996C68D89}">
      <formula1>$AK$992:$AK$994</formula1>
    </dataValidation>
    <dataValidation type="list" errorStyle="information" allowBlank="1" showInputMessage="1" showErrorMessage="1" sqref="D995:J996" xr:uid="{D8DAC3BD-2235-4C93-A0F4-2249ED3504F2}">
      <formula1>$AK$995:$AK$997</formula1>
    </dataValidation>
    <dataValidation type="list" errorStyle="information" allowBlank="1" showInputMessage="1" showErrorMessage="1" sqref="D998:J999" xr:uid="{F0E5CE05-1A8B-4E3E-9076-63C176F06DF4}">
      <formula1>$AK$998:$AK$1000</formula1>
    </dataValidation>
    <dataValidation type="list" errorStyle="information" allowBlank="1" showInputMessage="1" showErrorMessage="1" sqref="B781:I781" xr:uid="{5FDC7731-51F5-4345-B02A-03D3A740D642}">
      <formula1>$AI$762:$AI$775</formula1>
    </dataValidation>
    <dataValidation type="list" errorStyle="information" allowBlank="1" showInputMessage="1" showErrorMessage="1" sqref="D737:G737" xr:uid="{CF0F0B4F-E6B3-4929-A944-B96AE7DDA2B0}">
      <formula1>$AM$719:$AM$730</formula1>
    </dataValidation>
    <dataValidation type="list" errorStyle="information" allowBlank="1" showInputMessage="1" showErrorMessage="1" sqref="D738:G738" xr:uid="{FA33E407-3DFB-408C-9B2A-BD2844C83644}">
      <formula1>$AO$719:$AO$737</formula1>
    </dataValidation>
    <dataValidation type="list" errorStyle="information" allowBlank="1" showInputMessage="1" showErrorMessage="1" sqref="J737:M737" xr:uid="{BF3B20D2-A64E-4DA6-9035-5CB518F694B8}">
      <formula1>$AK$719:$AK$730</formula1>
    </dataValidation>
    <dataValidation type="list" errorStyle="information" allowBlank="1" showInputMessage="1" showErrorMessage="1" sqref="J738:M738" xr:uid="{7C309036-C146-482A-8C2C-D2167CBCA51A}">
      <formula1>$AQ$719:$AQ$727</formula1>
    </dataValidation>
    <dataValidation type="list" errorStyle="information" allowBlank="1" showInputMessage="1" showErrorMessage="1" sqref="C814:D814" xr:uid="{5D0A306E-4635-49F3-8FB0-D7910D217F92}">
      <formula1>$AK$798:$AK$800</formula1>
    </dataValidation>
    <dataValidation type="list" errorStyle="information" allowBlank="1" showInputMessage="1" showErrorMessage="1" sqref="G814:M814" xr:uid="{7E401003-7BA5-42E5-86EB-2EEEECAC18C8}">
      <formula1>$AI$790:$AI$796</formula1>
    </dataValidation>
    <dataValidation type="list" errorStyle="information" allowBlank="1" showInputMessage="1" showErrorMessage="1" sqref="B839:M839" xr:uid="{76E4E83F-63C1-4B10-B7D8-E454DD0715F5}">
      <formula1>$AQ$823:$AQ$837</formula1>
    </dataValidation>
    <dataValidation type="list" errorStyle="information" allowBlank="1" showInputMessage="1" showErrorMessage="1" sqref="B831:M831" xr:uid="{75326B2C-EE3C-48C5-955D-D3F4463EC4A2}">
      <formula1>$AO$823:$AO$842</formula1>
    </dataValidation>
    <dataValidation type="list" errorStyle="information" allowBlank="1" showInputMessage="1" showErrorMessage="1" sqref="B835:M835" xr:uid="{8B7C7B4F-F177-47CF-B0AF-DAFB16D707B6}">
      <formula1>$AP$823:$AP$836</formula1>
    </dataValidation>
    <dataValidation type="list" errorStyle="information" allowBlank="1" showInputMessage="1" showErrorMessage="1" sqref="F630:G634" xr:uid="{4B9FB852-9B1F-4DAE-BF58-DB0AB22771C4}">
      <formula1>$AK$630:$AK$632</formula1>
    </dataValidation>
    <dataValidation type="list" errorStyle="information" allowBlank="1" showInputMessage="1" showErrorMessage="1" sqref="H630:I634" xr:uid="{D147564F-3B6B-42AA-B972-0F983CC994CD}">
      <formula1>$AM$630:$AM$632</formula1>
    </dataValidation>
    <dataValidation type="list" errorStyle="information" allowBlank="1" showInputMessage="1" showErrorMessage="1" sqref="J630:K634" xr:uid="{7D72BD2C-476B-4BC8-99F4-2178B75DD771}">
      <formula1>$AO$630:$AO$632</formula1>
    </dataValidation>
    <dataValidation type="list" errorStyle="information" allowBlank="1" showInputMessage="1" showErrorMessage="1" sqref="L630:M634" xr:uid="{217CD12A-E273-4C18-A5E5-28E637E9748C}">
      <formula1>$AQ$630:$AQ$633</formula1>
    </dataValidation>
    <dataValidation type="list" errorStyle="information" allowBlank="1" showInputMessage="1" showErrorMessage="1" sqref="D900:F900" xr:uid="{0A70D446-245B-4D1F-97F6-D3DCBA8A64E6}">
      <formula1>$AO$901:$AO$905</formula1>
    </dataValidation>
    <dataValidation type="date" allowBlank="1" showInputMessage="1" showErrorMessage="1" sqref="D937:E938" xr:uid="{4FC13D49-05A5-4AA1-ACDE-3C24A321DA23}">
      <formula1>1</formula1>
      <formula2>54789</formula2>
    </dataValidation>
    <dataValidation type="list" errorStyle="warning" allowBlank="1" showInputMessage="1" showErrorMessage="1" sqref="H938:I938" xr:uid="{7A25D0E6-A287-4074-B7D0-181A03F13476}">
      <formula1>$AP$935:$AP$939</formula1>
    </dataValidation>
    <dataValidation type="list" errorStyle="warning" allowBlank="1" showInputMessage="1" showErrorMessage="1" sqref="AD961" xr:uid="{AF84CF19-20C1-4C44-A63C-AD669C5988EA}">
      <formula1>$K$963:$K$964</formula1>
    </dataValidation>
    <dataValidation type="list" errorStyle="warning" allowBlank="1" showInputMessage="1" showErrorMessage="1" sqref="I1013" xr:uid="{E5F805E1-DD20-4778-97EC-CA23DE4400FE}">
      <formula1>$AI$1011:$AI$1013</formula1>
    </dataValidation>
    <dataValidation type="list" errorStyle="information" allowBlank="1" showInputMessage="1" showErrorMessage="1" sqref="B286:M286" xr:uid="{8551B778-3760-4C0A-80F1-A0B424B6DE9F}">
      <formula1>$AK$287:$AK$291</formula1>
    </dataValidation>
    <dataValidation type="list" errorStyle="warning" allowBlank="1" showInputMessage="1" showErrorMessage="1" sqref="K962:L962" xr:uid="{C6025F44-FB55-4931-B7EB-165FB9E7D6BC}">
      <formula1>$AJ$960:$AJ$961</formula1>
    </dataValidation>
    <dataValidation type="list" errorStyle="warning" allowBlank="1" showInputMessage="1" showErrorMessage="1" sqref="C950:F950" xr:uid="{67D28F0F-9CB5-4770-9CD8-95ACA23D941F}">
      <formula1>$AQ$950:$AQ$953</formula1>
    </dataValidation>
    <dataValidation type="list" errorStyle="warning" allowBlank="1" showInputMessage="1" showErrorMessage="1" sqref="C951:F951" xr:uid="{1B02ED60-6BD2-4B8A-A4D4-874F4B15FF15}">
      <formula1>$AS$950:$AS$953</formula1>
    </dataValidation>
    <dataValidation type="list" errorStyle="warning" allowBlank="1" showInputMessage="1" showErrorMessage="1" sqref="C952:F952" xr:uid="{63DA8EC7-C9EB-4E2A-8D73-BFC07AADDC83}">
      <formula1>$AU$950:$AU$955</formula1>
    </dataValidation>
    <dataValidation type="list" errorStyle="warning" allowBlank="1" showInputMessage="1" showErrorMessage="1" sqref="C953:F953" xr:uid="{67615CEE-AC10-4948-B665-FE375ADC9FAC}">
      <formula1>$AW$950:$AW$953</formula1>
    </dataValidation>
    <dataValidation type="list" errorStyle="warning" allowBlank="1" showInputMessage="1" showErrorMessage="1" sqref="C944:F944" xr:uid="{5E951D2B-074A-417D-B969-1464099DCC08}">
      <formula1>$AO$943:$AO$947</formula1>
    </dataValidation>
    <dataValidation type="list" errorStyle="warning" allowBlank="1" showInputMessage="1" showErrorMessage="1" sqref="C945:F945" xr:uid="{4FF4BD97-9D19-4F69-AA67-C57108D6B612}">
      <formula1>$AQ$943:$AQ$947</formula1>
    </dataValidation>
    <dataValidation type="list" errorStyle="warning" allowBlank="1" showInputMessage="1" showErrorMessage="1" sqref="C946:F946" xr:uid="{8CB6A9A8-4261-41CC-8719-3D77E7324DD0}">
      <formula1>$AS$943:$AS$948</formula1>
    </dataValidation>
    <dataValidation type="list" errorStyle="warning" allowBlank="1" showInputMessage="1" showErrorMessage="1" sqref="C948:F948" xr:uid="{29FD5FC7-E4B1-426C-A1B3-EE4901468EF6}">
      <formula1>$AW$943:$AW$947</formula1>
    </dataValidation>
    <dataValidation type="list" errorStyle="warning" allowBlank="1" showInputMessage="1" showErrorMessage="1" sqref="C947:F947" xr:uid="{82A9FCE1-B0F4-4BF8-9F90-9AC1ADFB7A67}">
      <formula1>$AU$943:$AU$947</formula1>
    </dataValidation>
    <dataValidation type="list" errorStyle="warning" allowBlank="1" showInputMessage="1" showErrorMessage="1" sqref="B943" xr:uid="{CED055A7-F607-4B7A-9D33-C9B5CBF669F1}">
      <formula1>$AM$943:$AM$948</formula1>
    </dataValidation>
    <dataValidation type="list" errorStyle="information" allowBlank="1" showInputMessage="1" showErrorMessage="1" sqref="E266" xr:uid="{D2F87DE4-4937-47BA-A55E-3EC55AFEA773}">
      <formula1>$AJ$262:$AJ$273</formula1>
    </dataValidation>
  </dataValidations>
  <hyperlinks>
    <hyperlink ref="A90" location="advocacy!A55:N56" tooltip="previous page header" display="#" xr:uid="{FC8C7CCA-895D-4358-A041-B609690078E8}"/>
    <hyperlink ref="AB90" location="campaign!A72:AB113" tooltip="next page" display="$" xr:uid="{78F3C530-9B7E-4010-B12B-C2C8894EB382}"/>
    <hyperlink ref="A165" location="advocacy!A129:N129" tooltip="previous page header" display="#" xr:uid="{04D76BB8-F2C4-46D9-AFEA-9087EFF78906}"/>
    <hyperlink ref="A493" location="advocacy!A462:N462" tooltip="to previous page header" display="#" xr:uid="{5C98EEC7-7A13-4E49-B683-45D167B58513}"/>
    <hyperlink ref="AB1044" location="campaign!A277:AB277" tooltip="next page" display="$" xr:uid="{F5CD5538-5C38-4C6E-8DC0-5E25F91D7BB7}"/>
    <hyperlink ref="AB462" location="campaign!A196:AB235" tooltip="next page" display="$" xr:uid="{DED5C76D-2D20-4581-8793-791247FD30FC}"/>
    <hyperlink ref="A462" location="clients!A163:N163" tooltip="to previous page header" display="#" xr:uid="{4FED910D-2785-4885-8F45-DEA93A800123}"/>
    <hyperlink ref="AB165" location="campaign!A114:AB154" display="$" xr:uid="{95B80D76-2CB6-4663-A6AD-5C823F881140}"/>
    <hyperlink ref="AB493" location="campaign!A236:AB276" tooltip="next page" display="$" xr:uid="{A2F70E2D-05DE-4F06-B4A9-0811ADF0721E}"/>
    <hyperlink ref="A530" location="advocacy!A493:N493" tooltip="to previous page header" display="#" xr:uid="{7C985581-73A1-4F91-BFA1-52586931ABC1}"/>
    <hyperlink ref="A714" location="advocacy!A676:N676" tooltip="to previous page header" display="#" xr:uid="{06900BA6-ABE7-48E5-B333-4499B093378E}"/>
    <hyperlink ref="A819" location="advocacy!A783:N783" tooltip="to previous page header" display="#" xr:uid="{9A0D3C54-5F92-4F7E-B67D-4FFF3D25A230}"/>
    <hyperlink ref="A893" location="advocacy!A854:N854" tooltip="to previous page header" display="#" xr:uid="{F5B27B97-D29C-4F00-B040-74215529ABDF}"/>
    <hyperlink ref="A966" location="advocacy!A931:N931" tooltip="to previous page header" display="#" xr:uid="{70EAE1A2-DE9A-4D05-9930-0954E1D0B26B}"/>
    <hyperlink ref="A931" location="advocacy!A893:N893" tooltip="to previous page header" display="#" xr:uid="{4E3B958C-7B9D-42D7-9D46-4F7EACD30B1B}"/>
    <hyperlink ref="A783" location="advocacy!A749:N749" tooltip="to previous page header" display="#" xr:uid="{5190B49B-FEAC-437D-9A42-2E0261BB45DD}"/>
    <hyperlink ref="A854" location="advocacy!A819:N819" tooltip="to previous page header" display="#" xr:uid="{CC5C9458-B40F-4929-8787-9D913F706420}"/>
    <hyperlink ref="A749" location="advocacy!A714:N714" tooltip="to previous page header" display="#" xr:uid="{9C8C933E-9E6A-4D53-8EB0-C384A035B428}"/>
    <hyperlink ref="A1009" location="advocacy!A966:N966" tooltip="to previous page header" display="#" xr:uid="{23BAA019-379D-4981-859A-F987E1905B9C}"/>
    <hyperlink ref="AB530" location="campaign!A236:AB276" tooltip="next page" display="$" xr:uid="{6A52BE93-4E48-4A2C-B0D5-724F303BB793}"/>
    <hyperlink ref="AB749" location="campaign!A236:AB276" tooltip="next page" display="$" xr:uid="{727812C8-5950-42DB-BA57-27C8D1464EF6}"/>
    <hyperlink ref="AB714" location="campaign!A236:AB276" tooltip="next page" display="$" xr:uid="{CB3120C6-E576-4C63-A39F-047B6CD55FAA}"/>
    <hyperlink ref="AB783" location="campaign!A236:AB276" tooltip="next page" display="$" xr:uid="{DC911FC3-BBC4-4AE6-9A00-3124FEBDE153}"/>
    <hyperlink ref="AB819" location="campaign!A236:AB276" tooltip="next page" display="$" xr:uid="{FAF914D0-70DC-406B-BC3E-610809665EB8}"/>
    <hyperlink ref="AB854" location="campaign!A236:AB276" tooltip="next page" display="$" xr:uid="{A440E153-5574-453D-A393-E33EA7E6826E}"/>
    <hyperlink ref="AB893" location="campaign!A236:AB276" tooltip="next page" display="$" xr:uid="{107E8813-04DD-4875-AABB-E23A661E324B}"/>
    <hyperlink ref="AB966" location="campaign!A236:AB276" tooltip="next page" display="$" xr:uid="{489D2949-0886-4D81-8302-DB14CEE4D3B8}"/>
    <hyperlink ref="AB1009" location="campaign!A236:AB276" tooltip="next page" display="$" xr:uid="{1000AE84-C529-46C6-A3CF-D4C8BCAD9E1C}"/>
    <hyperlink ref="AB931" location="campaign!A236:AB276" tooltip="next page" display="$" xr:uid="{8B28DDCF-D9C6-49C0-8C21-4B756B1A1B42}"/>
    <hyperlink ref="AB55" location="campaign!A72:AB113" tooltip="next page" display="$" xr:uid="{E04A985E-8717-42C4-826F-20C0A841B443}"/>
    <hyperlink ref="B165" location="clients!B36:M36" tooltip="back to contents listing" display="Moving therapy beyond popular politics" xr:uid="{6334E1D6-BB43-4BA9-885A-557B8A2DDDB9}"/>
    <hyperlink ref="B462:M462" location="advocacy!A36:N36" tooltip="return to menu listing" display="What is the impact parity model?" xr:uid="{722AD79E-2ED4-4D3E-AD65-ACF8E86EA229}"/>
    <hyperlink ref="C37:K37" location="clients!A240:N240" tooltip="to page 8 header" display="clients!A240:N240" xr:uid="{B369A04A-CCBF-49B0-9709-6A1BEB6F0E8A}"/>
    <hyperlink ref="C36:K36" location="advocacy!A203:N203" tooltip="to page 7 header" display="advocacy!A203:N203" xr:uid="{036E868A-EA93-4427-AF1B-789615CD8046}"/>
    <hyperlink ref="K26" location="advocacy!H113" tooltip="go to dropdown list to select a political issue" display="Your input" xr:uid="{584C84FA-C577-4DC0-B0EE-A66CD9D41ECB}"/>
    <hyperlink ref="C25" location="advocacy!A54:N54" tooltip="go to page 3 header" display="Aims" xr:uid="{B584E831-729F-48AA-A233-86CDCBC51368}"/>
    <hyperlink ref="L25" location="advocacy!A55:N89" tooltip="to page 3" display="advocacy!A55:N89" xr:uid="{9BA45628-5842-4033-AB86-E5775CDB120E}"/>
    <hyperlink ref="C26:G26" location="clients!A89:N89" tooltip="to page 4 header" display="clients!A89:N89" xr:uid="{CE6AECF2-37BC-4836-9E3B-866B76339997}"/>
    <hyperlink ref="L24" location="advocacy!A23:N53" tooltip="to contents (this page)" display="advocacy!A23:N53" xr:uid="{C6CB78AA-1F0B-4EEE-9B0D-CB7E32D25054}"/>
    <hyperlink ref="C38:K38" location="clients!A277:N277" tooltip="to page 9 header" display="clients!A277:N277" xr:uid="{57354348-944C-4E34-8E81-C696703ACDF8}"/>
    <hyperlink ref="C43:K43" location="clients!A352:N352" tooltip="to page 11 header" display="clients!A352:N352" xr:uid="{9A2833A0-5726-463F-9055-CD93FCE1F305}"/>
    <hyperlink ref="C44:K44" location="clients!A386:N386" tooltip="to page 12 header" display="clients!A386:N386" xr:uid="{96CCBF1D-3C81-48E8-98A9-BD394B67C0CF}"/>
    <hyperlink ref="C45:K45" location="clients!A425:N425" tooltip="to page 13 header" display="clients!A425:N425" xr:uid="{7CB8E2C8-8A07-486B-8329-3CB122BE8B46}"/>
    <hyperlink ref="C46:K46" location="clients!A461:N461" tooltip="to page 14 header" display="clients!A461:N461" xr:uid="{F75C39A0-5106-4523-B4D7-3FFD3CAF36E4}"/>
    <hyperlink ref="C49:H49" location="advocacy!A931:N931" tooltip="to page header" display="advocacy!A931:N931" xr:uid="{CA25ABB0-EF50-47D6-AD4B-B2F69C081C5D}"/>
    <hyperlink ref="C51:H51" location="advocacy!A1009:N1009" tooltip="to page header" display="advocacy!A1009:N1009" xr:uid="{C7CD3FE9-C337-4F09-BFF7-1F70B631097E}"/>
    <hyperlink ref="C52:H52" location="advocacy!A1044:N1044" tooltip="to last page header" display="advocacy!A1044:N1044" xr:uid="{FF3F3062-7034-4352-BFE0-1398AF6ABE1F}"/>
    <hyperlink ref="B749:E749" location="clients!B42:K42" tooltip="back to contents menu above" display="De-generalizing" xr:uid="{0E4A1C05-883E-4FC7-AF05-2F4651FC9DAA}"/>
    <hyperlink ref="B714:K714" location="clients!B43:K43" tooltip="back to contents menu above" display="2. Expressing affected needs - &quot;dealienate&quot;" xr:uid="{E644BFE9-ED76-4A66-8424-F13720360D8B}"/>
    <hyperlink ref="B783:D783" location="clients!B44:K44" tooltip="back to contents menu above" display="De-alienating" xr:uid="{09AB5540-1942-40B4-955A-B5FF599F3732}"/>
    <hyperlink ref="B819:K819" location="clients!B45:K45" tooltip="back to contents menu above" display="3. Addressing affected needs - &quot;depolarize&quot;" xr:uid="{EC0730E4-4AD3-4086-B217-8B4C09FC67D6}"/>
    <hyperlink ref="B854" location="clients!B46:K46" tooltip="back to contents menu above" display="De-polarizing" xr:uid="{C1440043-26BD-4D11-BE6A-E9FADC654F76}"/>
    <hyperlink ref="B893:E893" location="clients!B47:K47" tooltip="back to the contents menu above" display="TAKEAWAY" xr:uid="{BA5CEE8C-F9A4-4614-A227-2798EB9989A4}"/>
    <hyperlink ref="B931:I931" location="clients!B50:K52" tooltip="back to contents menu above" display="Competitive responsiveness" xr:uid="{36894283-41FD-46C0-907C-09928A144D8D}"/>
    <hyperlink ref="A1044" location="advocacy!A1009:N1009" tooltip="to previous page header" display="#" xr:uid="{1E253DA7-B4B8-490C-A6CD-93CC2357D5DF}"/>
    <hyperlink ref="N90" location="advocacy!A129:N129" tooltip="next page header" display="$" xr:uid="{AD1D5A18-DD79-41CD-80E3-6696E90F4752}"/>
    <hyperlink ref="N165" location="advocacy!A202:N202" tooltip="next page header" display="$" xr:uid="{5B83409F-5E2F-4E89-AEBC-AA2817CD20CA}"/>
    <hyperlink ref="N462" location="advocacy!A493:N493" tooltip="to next page header" display="$" xr:uid="{1FCF6155-9D4C-4311-95B4-CF7D181CB849}"/>
    <hyperlink ref="N493" location="advocacy!A530:N530" tooltip="to next page header" display="$" xr:uid="{A94B976D-3139-4734-B634-6441465E9B18}"/>
    <hyperlink ref="N530" location="advocacy!A568:N568" tooltip="to next page header" display="$" xr:uid="{ABE2F175-A7AD-4393-8B1B-64A2D0B57681}"/>
    <hyperlink ref="N749" location="advocacy!A783:N783" tooltip="to next page header" display="$" xr:uid="{0CAA3646-B3B4-4B20-9054-BB6F1044D907}"/>
    <hyperlink ref="N714" location="advocacy!A749:N749" tooltip="to next page header" display="$" xr:uid="{58DEAEB7-D141-402D-9D1D-365EF0DF3A23}"/>
    <hyperlink ref="N783" location="advocacy!A819:N819" tooltip="to next page header" display="$" xr:uid="{8858FB42-E9EA-4A23-A258-D7DA9299768B}"/>
    <hyperlink ref="N819" location="advocacy!A854:N854" tooltip="to next page header" display="$" xr:uid="{52B1072C-70F0-4089-A630-91BD0E2EDA38}"/>
    <hyperlink ref="N854" location="advocacy!A893:N893" tooltip="to next page header" display="$" xr:uid="{2EF1FF9F-F8D3-4154-90CF-81A0241C30FB}"/>
    <hyperlink ref="N893" location="advocacy!A931:N931" tooltip="to next page header" display="$" xr:uid="{A3951CB7-577E-4428-8C9D-A31BCFA5C2EF}"/>
    <hyperlink ref="N966" location="advocacy!A1009:N1009" tooltip="to next page header" display="$" xr:uid="{AF6145F6-20BC-42AC-8D36-F2F848D30517}"/>
    <hyperlink ref="N1009" location="advocacy!A1044:N1044" tooltip="to next page header" display="$" xr:uid="{25EC5FA6-79DA-48DA-A9E1-46CCBE1952F5}"/>
    <hyperlink ref="N931" location="advocacy!A966:N966" tooltip="to next page header" display="$" xr:uid="{5CAE6A90-BAF6-4B30-A2B4-5D615DA4B127}"/>
    <hyperlink ref="N1044" location="advocacy!A1075:N1078" tooltip="end of the line" display="$" xr:uid="{C9CB74CD-7DCE-4657-ACA8-1E64CBB53F19}"/>
    <hyperlink ref="C26:H26" location="advocacy!A89:N89" tooltip="to page 4 header" display="advocacy!A89:N89" xr:uid="{5EC6F545-B09B-4BDA-B436-5C6BB97F2F41}"/>
    <hyperlink ref="B165:M165" location="advocacy!B28:M28" tooltip="return to menu listing" display="advocacy!B28:M28" xr:uid="{92DADDBA-B547-41CF-BAFB-ECAAD2AF2D97}"/>
    <hyperlink ref="A202" location="advocacy!A165:N165" tooltip="previous page header" display="#" xr:uid="{9296B8DF-E3CF-4F79-AD81-4FCA933623E6}"/>
    <hyperlink ref="AB202" location="campaign!A114:AB154" display="$" xr:uid="{6A84B1F9-8AD8-4079-8963-6EBDFC0EF859}"/>
    <hyperlink ref="B202" location="clients!B36:M36" tooltip="back to contents listing" display="Moving therapy beyond popular politics" xr:uid="{35748058-869E-497E-BCC6-D101B625F6A4}"/>
    <hyperlink ref="N202" location="advocacy!A239:N239" tooltip="next page header" display="$" xr:uid="{023D2FF7-61C4-4BE5-8B99-6B231AEF4A50}"/>
    <hyperlink ref="B202:M202" location="advocacy!B29:M29" tooltip="return to menu listing" display="Slipping into needless battle" xr:uid="{8439FC9C-68CB-46DB-951E-FDA871F37C4E}"/>
    <hyperlink ref="AB422" location="campaign!A155:AB195" tooltip="next page" display="$" xr:uid="{8E71F124-C00A-4079-AB8F-E5474E7648B9}"/>
    <hyperlink ref="A422" location="advocacy!A385:N385" tooltip="previous page header" display="#" xr:uid="{ADB97853-67B0-4F7A-8092-031F44818A59}"/>
    <hyperlink ref="B422:M422" location="advocacy!B35:M35" tooltip="return to menu listing" display="Welcome to proactive advocacy" xr:uid="{CF08683D-7FC1-44B1-9C2B-3AB0CDA7B7F6}"/>
    <hyperlink ref="N422" location="advocacy!A462:N462" tooltip="to next page header" display="$" xr:uid="{EF969059-E782-4891-BB76-68D876FCC9A8}"/>
    <hyperlink ref="A275" location="advocacy!A239:N239" tooltip="previous page header" display="#" xr:uid="{BC13D237-53D2-4AF6-ABFD-E5330FCBB733}"/>
    <hyperlink ref="AB275" location="campaign!A114:AB154" display="$" xr:uid="{23B31ECF-BD78-4EC4-AFB4-439A7E2D26EC}"/>
    <hyperlink ref="B275" location="clients!B36:M36" tooltip="back to contents listing" display="Moving therapy beyond popular politics" xr:uid="{1A660A39-DDED-42E7-BB07-548CE7735865}"/>
    <hyperlink ref="N275" location="advocacy!A312:N312" tooltip="next page header" display="$" xr:uid="{2FA70C66-132B-46D4-B47F-1250F531F98C}"/>
    <hyperlink ref="B275:M275" location="advocacy!B31:M31" tooltip="return to menu listing" display="Liberated by love" xr:uid="{B232B968-4799-4F4F-98EE-52A5D14F56CD}"/>
    <hyperlink ref="A385" location="advocacy!A349:N349" tooltip="previous page header" display="#" xr:uid="{C60F004A-95DB-4C1F-B249-7BA5F765CF88}"/>
    <hyperlink ref="AB385" location="campaign!A114:AB154" display="$" xr:uid="{6C5836BF-2C3C-4879-BCE6-E1E09F8BAC0E}"/>
    <hyperlink ref="N385" location="advocacy!A422:N422" tooltip="next page header" display="$" xr:uid="{A1547CE2-5CAB-4521-8883-C90677DB351E}"/>
    <hyperlink ref="A349" location="advocacy!A312:N312" tooltip="previous page header" display="#" xr:uid="{AD81A853-4FDF-476E-AFCC-B2D859D54B42}"/>
    <hyperlink ref="AB349" location="campaign!A114:AB154" display="$" xr:uid="{2EC4CAE0-5AA2-4166-B217-CE5F175CDF11}"/>
    <hyperlink ref="B349" location="clients!B36:M36" tooltip="back to contents listing" display="Moving therapy beyond popular politics" xr:uid="{B336EC5E-93C1-4072-A5FD-E83D73A7AD64}"/>
    <hyperlink ref="N349" location="advocacy!A385:N385" tooltip="next page header" display="$" xr:uid="{42C6EEDE-0C6E-4576-A9E4-83424D254FD7}"/>
    <hyperlink ref="B349:M349" location="advocacy!B33:M33" tooltip="return to menu listing" display="advocacy!B33:M33" xr:uid="{B42F2155-D5B9-4317-9BFD-3EA720CD6FF3}"/>
    <hyperlink ref="A636" location="advocacy!A602:N602" tooltip="to previous page header" display="#" xr:uid="{613CB48C-D2C6-4BB8-9C86-4CBC00B3ED23}"/>
    <hyperlink ref="AB636" location="campaign!A236:AB276" tooltip="next page" display="$" xr:uid="{47FEEB60-B71B-4E38-B654-853A8A77DF4F}"/>
    <hyperlink ref="B636:E636" location="clients!B42:K42" tooltip="back to contents menu above" display="De-generalizing" xr:uid="{0447113E-28B6-4ED9-9BB6-AE7861B4BF8B}"/>
    <hyperlink ref="N636" location="advocacy!A676:N676" tooltip="to next page header" display="$" xr:uid="{1E88F4B4-195E-4478-A069-9A0EEDA04C59}"/>
    <hyperlink ref="AB312" location="campaign!A155:AB195" tooltip="next page" display="$" xr:uid="{8F5837B3-9F4C-4A6C-857C-558D597EEF21}"/>
    <hyperlink ref="A312" location="advocacy!A275:N275" tooltip="previous page header" display="#" xr:uid="{392A696B-8126-45F1-8F38-21D56A3002A5}"/>
    <hyperlink ref="B312:M312" location="advocacy!B32:M32" tooltip="return to menu listing" display="advocacy!B32:M32" xr:uid="{233C1807-B479-4E96-9553-680F421F5000}"/>
    <hyperlink ref="N312" location="advocacy!A349:N349" tooltip="next page header" display="$" xr:uid="{2D8398EC-EEE4-4B65-BD6C-366943B9FC17}"/>
    <hyperlink ref="A568" location="advocacy!A530:N530" tooltip="to previous page header" display="#" xr:uid="{6E45ACC9-78AC-4DA3-B07C-B9D3F438703C}"/>
    <hyperlink ref="AB568" location="campaign!A236:AB276" tooltip="next page" display="$" xr:uid="{3637C510-8B64-4FCE-B5D5-E4C32DD7020D}"/>
    <hyperlink ref="N568" location="advocacy!A602:N602" tooltip="to next page header" display="$" xr:uid="{8A6ADE0A-A4D6-4D24-A0E4-B5632621B6D6}"/>
    <hyperlink ref="A676" location="advocacy!A636:N636" tooltip="to previous page header" display="#" xr:uid="{20A9739F-88E3-4AFE-90AD-33C7E71C25C0}"/>
    <hyperlink ref="AB676" location="campaign!A236:AB276" tooltip="next page" display="$" xr:uid="{A5983C42-D562-4252-8E17-C3DBF2273364}"/>
    <hyperlink ref="N676" location="advocacy!A714:N714" tooltip="to next page header" display="$" xr:uid="{360C1233-DC61-4C36-B067-A35A84902744}"/>
    <hyperlink ref="A602" location="advocacy!A568:N568" tooltip="to previous page header" display="#" xr:uid="{F230996F-4518-496E-9ED8-EBE3C408CBB8}"/>
    <hyperlink ref="AB602" location="campaign!A236:AB276" tooltip="next page" display="$" xr:uid="{73E327A6-00EC-46F3-8F77-5FB28BC73114}"/>
    <hyperlink ref="N602" location="advocacy!A636:N636" tooltip="to next page header" display="$" xr:uid="{A8C43300-29FC-4083-A12B-72F92AD32ACE}"/>
    <hyperlink ref="A129" location="advocacy!A90:N90" tooltip="previous page header" display="#" xr:uid="{D6703EF2-C161-4480-AC26-994AB1E04E29}"/>
    <hyperlink ref="AB129" location="campaign!A114:AB154" display="$" xr:uid="{61D05388-2643-417C-B2C5-A7DE45D1BB18}"/>
    <hyperlink ref="B129" location="clients!B36:M36" tooltip="back to contents listing" display="Moving therapy beyond popular politics" xr:uid="{B206A6D2-CAD6-44F8-980F-A04B65A53797}"/>
    <hyperlink ref="N129" location="advocacy!A165:N165" tooltip="next page header" display="$" xr:uid="{3569F181-0A6B-4D11-8068-9CEDC1B3C6FD}"/>
    <hyperlink ref="A239" location="advocacy!A202:N202" tooltip="previous page header" display="#" xr:uid="{55441B8E-F5A5-4933-8D72-D077F198552F}"/>
    <hyperlink ref="AB239" location="campaign!A114:AB154" display="$" xr:uid="{D7D26C76-B080-4F08-A270-9C1CD08321EC}"/>
    <hyperlink ref="B239" location="clients!B36:M36" tooltip="back to contents listing" display="Moving therapy beyond popular politics" xr:uid="{E8E410A6-BA1A-42F5-96CB-73CC84B0893B}"/>
    <hyperlink ref="N239" location="advocacy!A275:N275" tooltip="next page header" display="$" xr:uid="{612A46BF-84F2-4162-8A1C-4737762B4500}"/>
    <hyperlink ref="B239:M239" location="advocacy!B30:M30" tooltip="return to menu listing" display="Stuck in needless battle" xr:uid="{8461671F-36BD-40DD-9DA1-DE181DD2D942}"/>
    <hyperlink ref="B418:M420" location="HP!A1:N2" tooltip="click to go to HP tab" display="HP!A1:N2" xr:uid="{0EA763E5-5D7D-4620-A800-45F68DCE4DC3}"/>
    <hyperlink ref="P90:AA90" location="advocacy!B35:K35" tooltip="to contents menu above" display="Welcome to responsive advocacy" xr:uid="{D6C58899-1C86-4AE8-85D8-B5626CF6ACE6}"/>
    <hyperlink ref="C50:H50" location="advocacy!A966:N966" tooltip="to page header" display="advocacy!A966:N966" xr:uid="{6E7828F9-0006-4154-AB1A-557C4339E06D}"/>
    <hyperlink ref="K30" location="advocacy!E266" tooltip="go to dropdown list to select complementary sides" display="Your input" xr:uid="{F92ACD3E-F3EB-4527-8362-D9F2642FB6BD}"/>
    <hyperlink ref="K31" location="advocacy!B286" tooltip="go to dropdown list illustrating different responses to needs" display="Your input" xr:uid="{125A260B-1751-42E7-83AB-E5ABD1B87949}"/>
    <hyperlink ref="P1026:U1026" r:id="rId1" display="impact parity model" xr:uid="{79DD9D82-7B03-4E0B-AC81-BD409C581143}"/>
    <hyperlink ref="E860" location="advocacy!E679" tooltip="click to return to form above, to change values" display="advocacy!E679" xr:uid="{3B861901-9E3B-4684-BFCB-9B3E38C52AFE}"/>
    <hyperlink ref="F641" location="advocacy!E860:E863" tooltip="Click to see accumalitive weekly totals below" display="$" xr:uid="{38117FC2-D440-4131-A10F-2B93B98BA3AA}"/>
    <hyperlink ref="M859" location="advocacy!A674:N674" display="CC" xr:uid="{8C510264-FB73-481A-81F9-73A344DA8472}"/>
    <hyperlink ref="M869" location="advocacy!A674:N674" display="CC" xr:uid="{C74F0C79-E9AD-4B0D-912D-DCF96456881C}"/>
    <hyperlink ref="A55" location="advocacy!A23:N54" tooltip="previous page" display="#" xr:uid="{41F52136-16D7-4F8D-9526-76F51A64BD47}"/>
    <hyperlink ref="N55" location="advocacy!A90:N90" tooltip="next page header" display="$" xr:uid="{4D157B14-F857-4A9A-A59C-32113B8F278E}"/>
    <hyperlink ref="B1044" location="campaign!A1:AB1" tooltip="back to the top" display="Value Relating consulting services" xr:uid="{971124EB-A233-43F2-B1FF-6C1565B154E9}"/>
    <hyperlink ref="B55:C55" location="advocacy!C25" tooltip="back to contents menu above" display="Aims" xr:uid="{0BC84C66-1A56-46CF-A811-A0F1D50E8D9A}"/>
    <hyperlink ref="B90" location="advocacy!B26:M26" tooltip="return to menu listing" display="Parallel political differences" xr:uid="{58610749-FA2D-4F9E-8CFC-60339D063DDD}"/>
    <hyperlink ref="C26:I26" location="advocacy!A90:N90" tooltip="to page 4 header" display="advocacy!A90:N90" xr:uid="{648A325B-E2AC-498A-B56E-B14799F4DBE6}"/>
    <hyperlink ref="B129:L129" location="advocacy!B27:M27" tooltip="return to menu listing" display="advocacy!B27:M27" xr:uid="{B5143593-025C-454B-B58E-903E155936EA}"/>
    <hyperlink ref="C29:J29" location="advocacy!A202:N202" tooltip="to page header" display="advocacy!A202:N202" xr:uid="{A695576D-B9B0-4889-B132-1076980CBBAC}"/>
    <hyperlink ref="C28:J28" location="advocacy!A165:N165" tooltip="to page header" display="advocacy!A165:N165" xr:uid="{252AC84A-C4FF-4473-A794-63839F03D239}"/>
    <hyperlink ref="C27:J27" location="advocacy!A129:N129" tooltip="to page header" display="advocacy!A129:N129" xr:uid="{77E2857E-357D-4390-A552-C71352C873FB}"/>
    <hyperlink ref="C30:J30" location="advocacy!A239:N239" tooltip="to page header" display="advocacy!A239:N239" xr:uid="{202045A5-CDC9-40F1-8805-4CE8DEC24FD3}"/>
    <hyperlink ref="C31:J31" location="advocacy!A275:N275" tooltip="to page header" display="advocacy!A275:N275" xr:uid="{2C322507-DE8E-4E0B-A4C1-25CC72B96154}"/>
    <hyperlink ref="C32:J32" location="advocacy!A312:N312" tooltip="to page header" display="advocacy!A312:N312" xr:uid="{3AA7E5F6-37DF-4A38-9564-CEFD44943616}"/>
    <hyperlink ref="C33:J33" location="advocacy!A349:N349" tooltip="to page header" display="advocacy!A349:N349" xr:uid="{6F960202-3B71-4950-9D38-FB9244EFD2DC}"/>
    <hyperlink ref="B385:M385" location="advocacy!B34:M34" tooltip="return to menu listing" display="Respecting all political differences" xr:uid="{A1985A8F-C444-47D4-A817-2EC739AEC41A}"/>
    <hyperlink ref="C34:J34" location="advocacy!A385:N385" tooltip="to page header" display="advocacy!A385:N385" xr:uid="{374E176E-903E-4D7C-8ACF-AB8F7A129DE0}"/>
    <hyperlink ref="C35:H35" location="advocacy!A422:N422" tooltip="to page header" display="advocacy!A422:N422" xr:uid="{419EC7AC-DE2E-4755-9CEB-349F9CBB2137}"/>
    <hyperlink ref="C36:H36" location="advocacy!A462:N462" tooltip="to page header" display="advocacy!A462:N462" xr:uid="{59D8A0A1-9FDD-489F-9492-649690983E87}"/>
    <hyperlink ref="B493:M493" location="advocacy!B37:M37" tooltip="return to menu listing" display="Because they need you" xr:uid="{E9C7CAF6-D0CB-4FD2-A545-F64F9B0CE103}"/>
    <hyperlink ref="C37:H37" location="advocacy!A493:N493" tooltip="to page header" display="advocacy!A493:N493" xr:uid="{563060AC-19F5-4A99-AC09-E9256760E484}"/>
    <hyperlink ref="P893" location="clients!B47:K47" tooltip="back to the contents menu above" display="TAKEAWAY" xr:uid="{139DC371-3EAB-42B9-ABD9-07378EE891ED}"/>
    <hyperlink ref="B530" location="advocacy!B38:N38" tooltip="return to menu listing" display="FIT 1: Your personal readiness" xr:uid="{4BD767AD-115C-4701-A151-10F868EF2848}"/>
    <hyperlink ref="C38:H38" location="advocacy!A530:N530" tooltip="to page header" display="advocacy!A530:N530" xr:uid="{42CCF3EA-945F-4827-B0FD-E7A049C3CF73}"/>
    <hyperlink ref="B530:M530" location="advocacy!B38:N38" tooltip="return to menu listing" display="FIT 1: Your personal readiness" xr:uid="{A7AA9571-EA6C-4FD6-BBFE-4CF2DDB7BD19}"/>
    <hyperlink ref="B568:M568" location="advocacy!B39:M39" tooltip="return to menu listing" display="FIT 2: Your support potential" xr:uid="{4E10AD4F-3F67-44BF-B588-F1FC4AC89826}"/>
    <hyperlink ref="C39:H39" location="advocacy!A568:N568" tooltip="to page header" display="advocacy!A568:N568" xr:uid="{4F1BF7D5-DF6C-4E77-84C5-B18704F810C3}"/>
    <hyperlink ref="C40:H40" location="advocacy!A602:N602" tooltip="to page header" display="advocacy!A602:N602" xr:uid="{085AEF6C-200B-4414-8225-470601955B2F}"/>
    <hyperlink ref="B602:M602" location="advocacy!B40:M40" tooltip="return to menu listing" display="FIT 3: Your responsive impactors" xr:uid="{54E1045B-093F-42BA-A7CC-1C253D0E45CA}"/>
    <hyperlink ref="P636" location="clients!B42:K42" tooltip="back to contents menu above" display="De-generalizing" xr:uid="{6F5BE3BC-C0CB-40BB-87B2-64EF56453BB4}"/>
    <hyperlink ref="B636" location="advocacy!B41:M41" tooltip="return to menu listing" display="CAMPAIGN PHASES" xr:uid="{3C6C33BB-BCF1-47CA-A8B0-478F1029F463}"/>
    <hyperlink ref="C41:H41" location="advocacy!A636:N636" tooltip="to page header" display="advocacy!A636:N636" xr:uid="{2F461FC2-B659-41A9-A8CF-67FA65E80629}"/>
    <hyperlink ref="B676:G676" location="advocacy!B42:M42" tooltip="return to menu listing" display="1: PREP phase" xr:uid="{8C6E80B4-A847-4EFC-B742-A7E402ED6C77}"/>
    <hyperlink ref="C42:H42" location="advocacy!A676:N676" tooltip="to page header" display="advocacy!A676:N676" xr:uid="{307E327A-09FF-4C43-B006-26991A36B6CB}"/>
    <hyperlink ref="B714:G714" location="advocacy!B43:M43" tooltip="return to menu listing" display="2: BASE phase" xr:uid="{E70DA966-CBF1-480A-81B4-63618FE08BFD}"/>
    <hyperlink ref="C43:H43" location="advocacy!A714:N714" tooltip="to page header" display="advocacy!A714:N714" xr:uid="{EA2F6088-5377-4488-91E3-D4BF18DC1DBF}"/>
    <hyperlink ref="B749:G749" location="advocacy!B44:M44" tooltip="return to menu listing" display="3: LAUNCH phase" xr:uid="{01286E07-6A13-4203-89C5-D0E75134BC48}"/>
    <hyperlink ref="B783:G783" location="advocacy!B45:M45" tooltip="return to menu listing" display="4. GROWTH phase" xr:uid="{63B36A4B-C0F1-40E9-8605-AE67B18F8843}"/>
    <hyperlink ref="C45:H45" location="advocacy!A783:N783" tooltip="to page header" display="advocacy!A783:N783" xr:uid="{73809DC5-0ABA-4924-9E1F-9EB27593ABA4}"/>
    <hyperlink ref="C44:H44" location="advocacy!A749:N749" tooltip="to page header" display="advocacy!A749:N749" xr:uid="{3000594A-4993-4DF4-ACFC-1077FDE1FB45}"/>
    <hyperlink ref="B819:G819" location="advocacy!B46:M46" tooltip="return to menu listing" display="5. CAUSE phase" xr:uid="{933D934F-7646-422B-8892-0DE9CEE3227D}"/>
    <hyperlink ref="C46:H46" location="advocacy!A819:N819" tooltip="to page header" display="advocacy!A819:N819" xr:uid="{ED21A432-A15E-44F2-AC6D-4C3B7F3DD074}"/>
    <hyperlink ref="B854:M854" location="advocacy!B47:M47" tooltip="return to menu listing" display="Overview with revenue potential" xr:uid="{95C98F4A-9A9D-42B9-9625-B186281BD896}"/>
    <hyperlink ref="C47:H47" location="advocacy!A854:N854" tooltip="to page header" display="advocacy!A854:N854" xr:uid="{A09036DA-7D22-4884-95F9-AB4C73A23CBF}"/>
    <hyperlink ref="B893:M893" location="advocacy!B48:M48" tooltip="return to menu listing" display="Your Relating Terms" xr:uid="{D9F0F883-F4F9-4A9C-8C87-172813E049EB}"/>
    <hyperlink ref="C48:H48" location="advocacy!A893:N893" tooltip="to page header" display="advocacy!A893:N893" xr:uid="{770CF831-AE4A-4739-811F-306AE088BA19}"/>
    <hyperlink ref="B931:M931" location="advocacy!B49:M49" tooltip="return to menu listing" display="Exaction Invoice" xr:uid="{927EA52F-2EEF-40F7-B72E-35FD6614774C}"/>
    <hyperlink ref="B966" location="advocacy!B50:M50" tooltip="return to menu listing" display="Legitimacy Quality" xr:uid="{045D54C1-E70B-470A-A6AA-A142DC468573}"/>
    <hyperlink ref="B966:G966" location="advocacy!B50:M50" tooltip="return to menu listing" display="Legitimacy Quality" xr:uid="{8C1A6D38-118A-4864-B537-EF6F5A4F3292}"/>
    <hyperlink ref="B1009" location="advocacy!B51:M51" tooltip="return to menu listing" display="Invitations" xr:uid="{89363052-9B07-47D2-B612-A460E330A28B}"/>
    <hyperlink ref="B1009:G1009" location="advocacy!B51:M51" tooltip="return to menu listing" display="Invitations" xr:uid="{E5A9E9F6-A9CD-473B-8A20-3A4361E55249}"/>
    <hyperlink ref="B1044:L1044" location="advocacy!B52:N52" tooltip="return to menu listing" display="Getting started" xr:uid="{04189F20-84D4-453C-BDD0-1BFC4CCC92A8}"/>
    <hyperlink ref="K38" location="advocacy!E551" tooltip="Urgency of needs" display="Your input" xr:uid="{A6496D03-86C3-4186-93BF-710BECED088B}"/>
    <hyperlink ref="K40" location="advocacy!B630" tooltip="Rating powerholders" display="Your input" xr:uid="{3D9BC886-0ED4-4A48-8CFD-13C6DD0BBD63}"/>
    <hyperlink ref="K41" location="advocacy!E641" tooltip="Invested amounts" display="Your input" xr:uid="{BD96658C-E2C2-43EE-8CD8-BD86DE4CF0FE}"/>
    <hyperlink ref="K43" location="advocacy!D737" tooltip="Inputs for sample progress update" display="Your input" xr:uid="{5AEB9F9C-918D-4A0C-9786-E3B22948F648}"/>
    <hyperlink ref="K44" location="advocacy!B781" tooltip="Launch failure risks" display="Your input" xr:uid="{DEECE879-5975-431D-B908-383000011A9F}"/>
    <hyperlink ref="K45" location="advocacy!C814" tooltip="Impactor type" display="Your input" xr:uid="{FAE066D8-9495-42C5-90A9-1DD6B4B4E7CB}"/>
    <hyperlink ref="K46" location="advocacy!B831" tooltip="Avoidant options" display="Your input" xr:uid="{6735ABC4-9F58-49D5-B018-13BBB594F9EB}"/>
    <hyperlink ref="K47" location="advocacy!C860" tooltip="Launch date" display="Your input" xr:uid="{BC7BEDE5-880B-42EE-814F-9C1938772593}"/>
    <hyperlink ref="K48" location="advocacy!D900" tooltip="Relating Terms by phase" display="Your input" xr:uid="{B0431D32-A0CB-43AD-B5C9-BC13D188EF30}"/>
    <hyperlink ref="K49" location="advocacy!D937" tooltip="Date of impact" display="Your input" xr:uid="{DE7DEFFE-A181-4624-94C1-2C479DD02788}"/>
    <hyperlink ref="K50" location="advocacy!D974" tooltip="Quality level of scientific legitimacy" display="Your input" xr:uid="{58BF81DF-3108-412A-9A66-9CFD65264689}"/>
    <hyperlink ref="K51" location="advocacy!I1013" tooltip="Recipient of invitation to campaign" display="Your input" xr:uid="{15CE54D7-D415-44AE-8817-21174B7CCB40}"/>
    <hyperlink ref="L26" location="advocacy!A90:N128" tooltip="to page 4" display="advocacy!A90:N128" xr:uid="{F1B1DE19-D142-4FE6-8779-F0BB5246DFB1}"/>
    <hyperlink ref="L27" location="advocacy!A129:N164" tooltip="to page 5" display="advocacy!A129:N164" xr:uid="{540449C6-28A4-41E1-93C9-D73DF8D6A5F5}"/>
    <hyperlink ref="L28" location="advocacy!A165:N201" tooltip="to page 6" display="advocacy!A165:N201" xr:uid="{A56AF873-B4F0-462A-9007-250B7C871BFD}"/>
    <hyperlink ref="L29" location="advocacy!A202:N238" tooltip="to page 7" display="advocacy!A202:N238" xr:uid="{A70E805C-CB67-4BDC-8D3D-472451C3E406}"/>
    <hyperlink ref="L30" location="advocacy!A239:N274" tooltip="to page 8" display="advocacy!A239:N274" xr:uid="{E816E482-3165-481D-A121-5CE700E5ECE1}"/>
    <hyperlink ref="L31" location="advocacy!A275:N311" tooltip="to page 9" display="advocacy!A275:N311" xr:uid="{2B2134AA-C1F2-4950-AFF4-D55397E20F2D}"/>
    <hyperlink ref="L32" location="advocacy!A312:N348" tooltip="to page 10" display="advocacy!A312:N348" xr:uid="{91186114-26CD-4DB8-B384-57D6451A838E}"/>
    <hyperlink ref="L33" location="advocacy!A349:N384" tooltip="to page 11" display="advocacy!A349:N384" xr:uid="{8CC68792-B3F8-4779-8CD7-F22DDA14898E}"/>
    <hyperlink ref="L34" location="advocacy!A385:N421" tooltip="to page 12" display="advocacy!A385:N421" xr:uid="{40508C5F-A656-4AFB-A09C-128DFF07A162}"/>
    <hyperlink ref="L35" location="advocacy!A422:N461" tooltip="to page 13" display="advocacy!A422:N461" xr:uid="{CFEF58FE-A33C-49E6-B82E-FDD2455BF988}"/>
    <hyperlink ref="L36" location="advocacy!A462:N492" tooltip="to page 14" display="advocacy!A462:N492" xr:uid="{E4B332D3-D20C-4B1A-9B07-8E35AA461678}"/>
    <hyperlink ref="L37" location="advocacy!A493:N529" tooltip="to page 15" display="advocacy!A493:N529" xr:uid="{2CC5F5F0-970B-44F5-89E8-9AC66D9C5909}"/>
    <hyperlink ref="L38" location="advocacy!A530:N567" tooltip="to page 16" display="advocacy!A530:N567" xr:uid="{ED584060-57D0-43B2-9076-B396EB7DCABD}"/>
    <hyperlink ref="L39" location="advocacy!A568:N601" tooltip="to page 17" display="advocacy!A568:N601" xr:uid="{3A0ED5C7-28F9-47D5-B370-006867027B5C}"/>
    <hyperlink ref="L40" location="advocacy!A602:N635" tooltip="to page 18" display="advocacy!A602:N635" xr:uid="{80D26614-35F3-4B69-A9CC-722B21880B1D}"/>
    <hyperlink ref="L41" location="advocacy!A636:N675" tooltip="to page 19" display="advocacy!A636:N675" xr:uid="{B3D1394B-F789-4B84-94D8-F373CDAE27C2}"/>
    <hyperlink ref="L42" location="advocacy!A676:N713" tooltip="to page 20" display="advocacy!A676:N713" xr:uid="{B702660F-6845-4A50-A4FD-727338962CB4}"/>
    <hyperlink ref="L43" location="advocacy!A714:N748" tooltip="to page 21" display="advocacy!A714:N748" xr:uid="{B515A85E-7EDE-496D-B9CB-C91808365F4E}"/>
    <hyperlink ref="L44" location="advocacy!A749:N782" tooltip="to page 22" display="advocacy!A749:N782" xr:uid="{FE68BD2F-B994-4A10-9DD9-0EE2FEC06DE4}"/>
    <hyperlink ref="L45" location="advocacy!A783:N818" tooltip="to page 23" display="advocacy!A783:N818" xr:uid="{BA676347-7CA7-431E-AB2D-54532F095522}"/>
    <hyperlink ref="L46" location="advocacy!A819:N853" tooltip="to page 24" display="advocacy!A819:N853" xr:uid="{9B65E15C-75AB-4093-BAC1-34681BBD92D5}"/>
    <hyperlink ref="L47" location="advocacy!A854:N892" tooltip="to page 25" display="advocacy!A854:N892" xr:uid="{7CC7236B-BC25-4149-9070-12DA5717469C}"/>
    <hyperlink ref="L48" location="advocacy!A893:N930" tooltip="to page 26" display="advocacy!A893:N930" xr:uid="{47A56611-F556-42D4-B284-98089CFB07D6}"/>
    <hyperlink ref="L49" location="advocacy!A931:N965" tooltip="to page 27" display="advocacy!A931:N965" xr:uid="{8B73DD33-035D-468B-91AB-A7C6C5627CCF}"/>
    <hyperlink ref="L50" location="advocacy!A966:N1008" tooltip="to page 28" display="advocacy!A966:N1008" xr:uid="{16D25665-317F-4D40-A70B-CB01911E0848}"/>
    <hyperlink ref="L51" location="advocacy!A1009:N1043" tooltip="to page 29" display="advocacy!A1009:N1043" xr:uid="{C7B59FE3-94BA-4ECC-90CC-8A6ECEB6AD80}"/>
    <hyperlink ref="L52" location="advocacy!A1044:N1078" tooltip="to page 30" display="advocacy!A1044:N1078" xr:uid="{9DD5B13E-4768-4585-9209-0D9FC12D0A38}"/>
  </hyperlinks>
  <printOptions horizontalCentered="1"/>
  <pageMargins left="0.65" right="0.65" top="0.75" bottom="0.75" header="0.3" footer="0.3"/>
  <pageSetup pageOrder="overThenDown" orientation="portrait" r:id="rId2"/>
  <headerFooter>
    <oddHeader>&amp;C&amp;"Arial Black,Regular"&amp;16&amp;K00B050Value&amp;K01+000 &amp;K7030A0Relating&amp;Rver. 01</oddHeader>
    <oddFooter>&amp;L&amp;D&amp;C&amp;P&amp;R&amp;F; &amp;A</oddFooter>
  </headerFooter>
  <drawing r:id="rId3"/>
  <legacyDrawing r:id="rId4"/>
  <extLst>
    <ext xmlns:x14="http://schemas.microsoft.com/office/spreadsheetml/2009/9/main" uri="{78C0D931-6437-407d-A8EE-F0AAD7539E65}">
      <x14:conditionalFormattings>
        <x14:conditionalFormatting xmlns:xm="http://schemas.microsoft.com/office/excel/2006/main">
          <x14:cfRule type="containsText" priority="30" operator="containsText" id="{FB0730B2-5C5A-456F-9A4D-9BE0D544901A}">
            <xm:f>NOT(ISERROR(SEARCH($AK$742,AK742)))</xm:f>
            <xm:f>$AK$742</xm:f>
            <x14:dxf>
              <font>
                <color theme="1" tint="0.499984740745262"/>
              </font>
            </x14:dxf>
          </x14:cfRule>
          <xm:sqref>AK742</xm:sqref>
        </x14:conditionalFormatting>
        <x14:conditionalFormatting xmlns:xm="http://schemas.microsoft.com/office/excel/2006/main">
          <x14:cfRule type="containsText" priority="5" operator="containsText" id="{41D6A352-7D54-4B86-8992-5499888B5C75}">
            <xm:f>NOT(ISERROR(SEARCH($AJ$1003,J1002)))</xm:f>
            <xm:f>$AJ$1003</xm:f>
            <x14:dxf>
              <font>
                <color theme="1" tint="0.499984740745262"/>
              </font>
            </x14:dxf>
          </x14:cfRule>
          <xm:sqref>J1002</xm:sqref>
        </x14:conditionalFormatting>
        <x14:conditionalFormatting xmlns:xm="http://schemas.microsoft.com/office/excel/2006/main">
          <x14:cfRule type="containsText" priority="4" operator="containsText" id="{04BFC754-4DC0-4309-B8D1-E351881966C3}">
            <xm:f>NOT(ISERROR(SEARCH($AJ$1002,I1002)))</xm:f>
            <xm:f>$AJ$1002</xm:f>
            <x14:dxf>
              <font>
                <color theme="1" tint="0.499984740745262"/>
              </font>
            </x14:dxf>
          </x14:cfRule>
          <xm:sqref>I1002</xm:sqref>
        </x14:conditionalFormatting>
        <x14:conditionalFormatting xmlns:xm="http://schemas.microsoft.com/office/excel/2006/main">
          <x14:cfRule type="containsText" priority="3" operator="containsText" id="{F22D7349-980F-4C40-B18A-2BBB4F05DA10}">
            <xm:f>NOT(ISERROR(SEARCH($AJ$1004,B1003)))</xm:f>
            <xm:f>$AJ$1004</xm:f>
            <x14:dxf>
              <font>
                <color theme="1" tint="0.499984740745262"/>
              </font>
            </x14:dxf>
          </x14:cfRule>
          <xm:sqref>B1003:M1005</xm:sqref>
        </x14:conditionalFormatting>
        <x14:conditionalFormatting xmlns:xm="http://schemas.microsoft.com/office/excel/2006/main">
          <x14:cfRule type="containsText" priority="1" operator="containsText" id="{A625BEB3-6E8A-4FE7-96BB-A6AE012D55CF}">
            <xm:f>NOT(ISERROR(SEARCH($AK$1006,G1006)))</xm:f>
            <xm:f>$AK$1006</xm:f>
            <x14:dxf>
              <font>
                <color rgb="FF780091"/>
              </font>
              <fill>
                <gradientFill degree="90">
                  <stop position="0">
                    <color rgb="FFFFE1FF"/>
                  </stop>
                  <stop position="1">
                    <color rgb="FFFFCCFF"/>
                  </stop>
                </gradientFill>
              </fill>
              <border>
                <vertical/>
                <horizontal/>
              </border>
            </x14:dxf>
          </x14:cfRule>
          <xm:sqref>G1006:H1006</xm:sqref>
        </x14:conditionalFormatting>
      </x14:conditionalFormatting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3</vt:i4>
      </vt:variant>
    </vt:vector>
  </HeadingPairs>
  <TitlesOfParts>
    <vt:vector size="6" baseType="lpstr">
      <vt:lpstr>HP</vt:lpstr>
      <vt:lpstr>counselor</vt:lpstr>
      <vt:lpstr>advocacy</vt:lpstr>
      <vt:lpstr>advocacy!Print_Area</vt:lpstr>
      <vt:lpstr>counselor!Print_Area</vt:lpstr>
      <vt:lpstr>HP!Print_Area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Steph</dc:creator>
  <cp:lastModifiedBy>Steph</cp:lastModifiedBy>
  <cp:lastPrinted>2021-01-17T21:40:25Z</cp:lastPrinted>
  <dcterms:created xsi:type="dcterms:W3CDTF">2020-01-07T05:19:24Z</dcterms:created>
  <dcterms:modified xsi:type="dcterms:W3CDTF">2021-01-17T21:40:38Z</dcterms:modified>
</cp:coreProperties>
</file>